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005" windowHeight="11760" firstSheet="2" activeTab="13"/>
  </bookViews>
  <sheets>
    <sheet name="Sales Forecast (old)" sheetId="28" state="hidden" r:id="rId1"/>
    <sheet name="Sales and COGS Forecasts (OLD)" sheetId="31" state="hidden" r:id="rId2"/>
    <sheet name="Sales and COGS Forecasts" sheetId="5" r:id="rId3"/>
    <sheet name="Calculations" sheetId="1" r:id="rId4"/>
    <sheet name="Financials" sheetId="2" state="hidden" r:id="rId5"/>
    <sheet name="Break-even" sheetId="3" state="hidden" r:id="rId6"/>
    <sheet name="Market" sheetId="4" state="hidden" r:id="rId7"/>
    <sheet name="Personnel" sheetId="6" state="hidden" r:id="rId8"/>
    <sheet name="Graph Rev EBITDA" sheetId="33" r:id="rId9"/>
    <sheet name="P&amp;L" sheetId="7" r:id="rId10"/>
    <sheet name="Funding" sheetId="9" state="hidden" r:id="rId11"/>
    <sheet name="Past" sheetId="10" state="hidden" r:id="rId12"/>
    <sheet name="Balance" sheetId="16" r:id="rId13"/>
    <sheet name="Cash Flow" sheetId="11" r:id="rId14"/>
    <sheet name="Use of Proceeds" sheetId="32" r:id="rId15"/>
    <sheet name="DCF" sheetId="29" r:id="rId16"/>
    <sheet name="Hi-Vol Surgeons" sheetId="30" r:id="rId17"/>
    <sheet name="Sources and Uses" sheetId="12" state="hidden" r:id="rId18"/>
    <sheet name="Milestones" sheetId="17" state="hidden" r:id="rId19"/>
    <sheet name="Long term" sheetId="18" state="hidden" r:id="rId20"/>
    <sheet name="Use of Funds" sheetId="20" state="hidden" r:id="rId21"/>
    <sheet name="Benchmarks" sheetId="23" state="hidden" r:id="rId22"/>
    <sheet name="Personal Net Worth" sheetId="24" state="hidden" r:id="rId23"/>
    <sheet name="Ratios" sheetId="25" state="hidden" r:id="rId24"/>
    <sheet name="userdefinedinfo" sheetId="27" state="hidden" r:id="rId25"/>
  </sheets>
  <definedNames>
    <definedName name="accounts_payable">Balance!$A$19:$AJ$19</definedName>
    <definedName name="accounts_receivable">Balance!$A$7:$AJ$7</definedName>
    <definedName name="accounts_receivable_lookup">#REF!</definedName>
    <definedName name="accumulated_depreciation" localSheetId="15">Balance!#REF!</definedName>
    <definedName name="accumulated_depreciation" localSheetId="16">Balance!#REF!</definedName>
    <definedName name="accumulated_depreciation" localSheetId="1">Balance!#REF!</definedName>
    <definedName name="accumulated_depreciation">Balance!#REF!</definedName>
    <definedName name="acid_test">Ratios!$O$54:$AH$54</definedName>
    <definedName name="additional_investment_requirement">Funding!$B$28</definedName>
    <definedName name="assets_to_sales">Ratios!$O$52:$AH$52</definedName>
    <definedName name="average_per_unit_revenue">'Break-even'!$O$7</definedName>
    <definedName name="average_per_unit_revenue_calculated">'Break-even'!$O$16</definedName>
    <definedName name="average_per_unit_variable_cost">'Break-even'!$O$8</definedName>
    <definedName name="average_variable_cost">'Break-even'!$O$9</definedName>
    <definedName name="b1_o_p">Benchmarks!$K$2:$S$7</definedName>
    <definedName name="b1_o_p_st">Benchmarks!$K$2:$Q$7</definedName>
    <definedName name="b1_s_p">Benchmarks!$N$8:$S$13</definedName>
    <definedName name="b1_s_p_st">Benchmarks!$N$8:$Q$13</definedName>
    <definedName name="b2_o_p">Benchmarks!$K$14:$S$18</definedName>
    <definedName name="b2_o_p_st">Benchmarks!$K$14:$Q$18</definedName>
    <definedName name="b2_s_p">Benchmarks!$N$19:$S$23</definedName>
    <definedName name="b2_s_p_st">Benchmarks!$N$19:$Q$23</definedName>
    <definedName name="b3_o_p">Benchmarks!$K$24:$S$27</definedName>
    <definedName name="b3_o_p_st">Benchmarks!$K$24:$Q$27</definedName>
    <definedName name="b3_s_p">Benchmarks!$N$28:$S$31</definedName>
    <definedName name="b3_s_p_st">Benchmarks!$N$28:$Q$31</definedName>
    <definedName name="b4_o_p">Benchmarks!$K$32:$S$36</definedName>
    <definedName name="b4_o_p_st">Benchmarks!$K$32:$Q$36</definedName>
    <definedName name="b4_s_p">Benchmarks!$N$37:$S$41</definedName>
    <definedName name="b4_s_p_st">Benchmarks!$N$37:$Q$41</definedName>
    <definedName name="beginning_payables_balance">#REF!</definedName>
    <definedName name="beginning_receivables_balance">#REF!</definedName>
    <definedName name="cash">Balance!$A$6:$AQ$6</definedName>
    <definedName name="cash_balance_on_starting_date">Funding!$B$10</definedName>
    <definedName name="cash_from_receivables" localSheetId="15">DCF!#REF!</definedName>
    <definedName name="cash_from_receivables" localSheetId="16">'Hi-Vol Surgeons'!#REF!</definedName>
    <definedName name="cash_from_receivables" localSheetId="1">'Cash Flow'!#REF!</definedName>
    <definedName name="cash_from_receivables">'Cash Flow'!#REF!</definedName>
    <definedName name="cash_sales" localSheetId="15">DCF!#REF!</definedName>
    <definedName name="cash_sales" localSheetId="16">'Hi-Vol Surgeons'!#REF!</definedName>
    <definedName name="cash_sales" localSheetId="1">'Cash Flow'!#REF!</definedName>
    <definedName name="cash_sales">'Cash Flow'!#REF!</definedName>
    <definedName name="cash_spending" localSheetId="15">DCF!#REF!</definedName>
    <definedName name="cash_spending" localSheetId="16">'Hi-Vol Surgeons'!#REF!</definedName>
    <definedName name="cash_spending" localSheetId="1">'Cash Flow'!#REF!</definedName>
    <definedName name="cash_spending">'Cash Flow'!#REF!</definedName>
    <definedName name="chart_benchmarks1_ongoing_planned">Benchmarks!$K$2:$S$7</definedName>
    <definedName name="chart_benchmarks1_ongoing_planned_st">Benchmarks!$K$2:$Q$7</definedName>
    <definedName name="chart_benchmarks1_startup_planned">Benchmarks!$N$8:$S$13</definedName>
    <definedName name="chart_benchmarks1_startup_planned_st">Benchmarks!$N$8:$Q$13</definedName>
    <definedName name="chart_benchmarks2_ongoing_planned">Benchmarks!$K$14:$S$18</definedName>
    <definedName name="chart_benchmarks2_ongoing_planned_st">Benchmarks!$K$14:$Q$18</definedName>
    <definedName name="chart_benchmarks2_startup_planned">Benchmarks!$N$19:$S$23</definedName>
    <definedName name="chart_benchmarks2_startup_planned_st">Benchmarks!$N$19:$Q$23</definedName>
    <definedName name="chart_benchmarks3_ongoing_planned">Benchmarks!$K$24:$S$27</definedName>
    <definedName name="chart_benchmarks3_ongoing_planned_st">Benchmarks!$K$24:$Q$27</definedName>
    <definedName name="chart_benchmarks3_startup_planned">Benchmarks!$N$28:$S$31</definedName>
    <definedName name="chart_benchmarks3_startup_planned_st">Benchmarks!$N$28:$Q$31</definedName>
    <definedName name="chart_benchmarks4_ongoing_planned">Benchmarks!$K$32:$S$36</definedName>
    <definedName name="chart_benchmarks4_ongoing_planned_st">Benchmarks!$K$32:$Q$36</definedName>
    <definedName name="chart_benchmarks4_startup_planned">Benchmarks!$N$37:$S$41</definedName>
    <definedName name="chart_benchmarks4_startup_planned_st">Benchmarks!$N$37:$Q$41</definedName>
    <definedName name="chart_breakeven_units">'Break-even'!$H$12:$I$24</definedName>
    <definedName name="chart_breakeven_values">'Break-even'!$J$12:$K$24</definedName>
    <definedName name="chart_cash_pilot">Balance!$H$44:$J$52</definedName>
    <definedName name="chart_cash_pilot2">Balance!$U$44:$W$52</definedName>
    <definedName name="chart_cash_planned" localSheetId="15">DCF!$B$25:$B$33</definedName>
    <definedName name="chart_cash_planned" localSheetId="16">'Hi-Vol Surgeons'!$B$11:$B$18</definedName>
    <definedName name="chart_cash_planned">'Cash Flow'!$G$34:$I$35</definedName>
    <definedName name="chart_cash_year2_planned" localSheetId="15">DCF!$C$25:$C$33</definedName>
    <definedName name="chart_cash_year2_planned" localSheetId="16">'Hi-Vol Surgeons'!$C$11:$C$18</definedName>
    <definedName name="chart_cash_year2_planned">'Cash Flow'!$T$34:$U$35</definedName>
    <definedName name="chart_expenses_dashboard_pav">'P&amp;L'!$L$92:$O$104</definedName>
    <definedName name="chart_highlights_planned">'P&amp;L'!$B$59:$J$64</definedName>
    <definedName name="chart_highlights_planned_actual">'P&amp;L'!$CS$59:$CV$64</definedName>
    <definedName name="chart_highlights_planned_st">'P&amp;L'!$B$59:$J$62</definedName>
    <definedName name="chart_highlights_planned_st_actual">'P&amp;L'!$CS$59:$CV$62</definedName>
    <definedName name="chart_highlights_planned_st_variance">'P&amp;L'!$DL$59:$DO$62</definedName>
    <definedName name="chart_highlights_planned_variance">'P&amp;L'!$DL$59:$DO$64</definedName>
    <definedName name="chart_longterm">'Long term'!$AH$26:$AK$36</definedName>
    <definedName name="chart_marketanalysis_bar">Market!$M$3:$R$5</definedName>
    <definedName name="chart_marketanalysis_cagr">Market!$K$3:$L$5</definedName>
    <definedName name="chart_marketanalysis_pie">Market!$I$4:$J$5</definedName>
    <definedName name="chart_milestones_actual">Milestones!$AH$3:$AK$23</definedName>
    <definedName name="chart_milestones_planned">Milestones!$H$3:$J$23</definedName>
    <definedName name="chart_monthly_grossmargin_actual">'P&amp;L'!$DD$66:$DE$78</definedName>
    <definedName name="chart_monthly_grossmargin_planned">'P&amp;L'!$S$66:$T$78</definedName>
    <definedName name="chart_monthly_grossmargin_variance">'P&amp;L'!$DW$66:$DX$78</definedName>
    <definedName name="chart_monthly_grossmargin_year2_planned">'P&amp;L'!$AF$66:$AG$78</definedName>
    <definedName name="chart_monthly_profit_actual">'P&amp;L'!$CX$66:$CY$78</definedName>
    <definedName name="chart_monthly_profit_planned">'P&amp;L'!$M$66:$N$78</definedName>
    <definedName name="chart_monthly_profit_variance">'P&amp;L'!$DQ$66:$DR$78</definedName>
    <definedName name="chart_monthly_profit_year2_planned">'P&amp;L'!$Z$66:$AA$78</definedName>
    <definedName name="chart_pastperformance">Past!$H$1:$K$4</definedName>
    <definedName name="chart_payback">#REF!</definedName>
    <definedName name="chart_sales_dashboard_pav" localSheetId="1">'Sales and COGS Forecasts (OLD)'!$G$468:$J$479</definedName>
    <definedName name="chart_sales_dashboard_pav" localSheetId="0">'Sales Forecast (old)'!$G$46:$J$58</definedName>
    <definedName name="chart_sales_dashboard_pav">'Sales and COGS Forecasts'!$L$468:$O$479</definedName>
    <definedName name="chart_sales_units_monthly_actual" localSheetId="15">'Sales and COGS Forecasts'!#REF!</definedName>
    <definedName name="chart_sales_units_monthly_actual" localSheetId="16">'Sales and COGS Forecasts'!#REF!</definedName>
    <definedName name="chart_sales_units_monthly_actual" localSheetId="1">'Sales and COGS Forecasts (OLD)'!#REF!</definedName>
    <definedName name="chart_sales_units_monthly_actual" localSheetId="0">'Sales Forecast (old)'!$ED$28:$EP$31</definedName>
    <definedName name="chart_sales_units_monthly_actual">'Sales and COGS Forecasts'!#REF!</definedName>
    <definedName name="chart_sales_units_monthly_planned" localSheetId="15">'Sales and COGS Forecasts'!#REF!</definedName>
    <definedName name="chart_sales_units_monthly_planned" localSheetId="16">'Sales and COGS Forecasts'!#REF!</definedName>
    <definedName name="chart_sales_units_monthly_planned" localSheetId="1">'Sales and COGS Forecasts (OLD)'!#REF!</definedName>
    <definedName name="chart_sales_units_monthly_planned" localSheetId="0">'Sales Forecast (old)'!$BA$28:$BM$31</definedName>
    <definedName name="chart_sales_units_monthly_planned">'Sales and COGS Forecasts'!#REF!</definedName>
    <definedName name="chart_sales_units_monthly_variance" localSheetId="15">'Sales and COGS Forecasts'!#REF!</definedName>
    <definedName name="chart_sales_units_monthly_variance" localSheetId="16">'Sales and COGS Forecasts'!#REF!</definedName>
    <definedName name="chart_sales_units_monthly_variance" localSheetId="1">'Sales and COGS Forecasts (OLD)'!#REF!</definedName>
    <definedName name="chart_sales_units_monthly_variance" localSheetId="0">'Sales Forecast (old)'!$EY$28:$FK$31</definedName>
    <definedName name="chart_sales_units_monthly_variance">'Sales and COGS Forecasts'!#REF!</definedName>
    <definedName name="chart_sales_units_monthly_year2_planned" localSheetId="15">'Sales and COGS Forecasts'!#REF!</definedName>
    <definedName name="chart_sales_units_monthly_year2_planned" localSheetId="16">'Sales and COGS Forecasts'!#REF!</definedName>
    <definedName name="chart_sales_units_monthly_year2_planned" localSheetId="1">'Sales and COGS Forecasts (OLD)'!#REF!</definedName>
    <definedName name="chart_sales_units_monthly_year2_planned" localSheetId="0">'Sales Forecast (old)'!$CA$28:$CM$31</definedName>
    <definedName name="chart_sales_units_monthly_year2_planned">'Sales and COGS Forecasts'!#REF!</definedName>
    <definedName name="chart_sales_units_yearly_actual" localSheetId="15">'Sales and COGS Forecasts'!#REF!</definedName>
    <definedName name="chart_sales_units_yearly_actual" localSheetId="16">'Sales and COGS Forecasts'!#REF!</definedName>
    <definedName name="chart_sales_units_yearly_actual" localSheetId="1">'Sales and COGS Forecasts (OLD)'!#REF!</definedName>
    <definedName name="chart_sales_units_yearly_actual" localSheetId="0">'Sales Forecast (old)'!$EQ$28:$EV$31</definedName>
    <definedName name="chart_sales_units_yearly_actual">'Sales and COGS Forecasts'!#REF!</definedName>
    <definedName name="chart_sales_units_yearly_actual_st" localSheetId="15">'Sales and COGS Forecasts'!#REF!</definedName>
    <definedName name="chart_sales_units_yearly_actual_st" localSheetId="16">'Sales and COGS Forecasts'!#REF!</definedName>
    <definedName name="chart_sales_units_yearly_actual_st" localSheetId="1">'Sales and COGS Forecasts (OLD)'!#REF!</definedName>
    <definedName name="chart_sales_units_yearly_actual_st" localSheetId="0">'Sales Forecast (old)'!$EQ$28:$ET$31</definedName>
    <definedName name="chart_sales_units_yearly_actual_st">'Sales and COGS Forecasts'!#REF!</definedName>
    <definedName name="chart_sales_units_yearly_planned" localSheetId="15">'Sales and COGS Forecasts'!#REF!</definedName>
    <definedName name="chart_sales_units_yearly_planned" localSheetId="16">'Sales and COGS Forecasts'!#REF!</definedName>
    <definedName name="chart_sales_units_yearly_planned" localSheetId="1">'Sales and COGS Forecasts (OLD)'!#REF!</definedName>
    <definedName name="chart_sales_units_yearly_planned" localSheetId="0">'Sales Forecast (old)'!$BN$28:$BS$31</definedName>
    <definedName name="chart_sales_units_yearly_planned">'Sales and COGS Forecasts'!#REF!</definedName>
    <definedName name="chart_sales_units_yearly_planned_st" localSheetId="15">'Sales and COGS Forecasts'!#REF!</definedName>
    <definedName name="chart_sales_units_yearly_planned_st" localSheetId="16">'Sales and COGS Forecasts'!#REF!</definedName>
    <definedName name="chart_sales_units_yearly_planned_st" localSheetId="1">'Sales and COGS Forecasts (OLD)'!#REF!</definedName>
    <definedName name="chart_sales_units_yearly_planned_st" localSheetId="0">'Sales Forecast (old)'!$BN$28:$BQ$31</definedName>
    <definedName name="chart_sales_units_yearly_planned_st">'Sales and COGS Forecasts'!#REF!</definedName>
    <definedName name="chart_sales_units_yearly_variance" localSheetId="15">'Sales and COGS Forecasts'!#REF!</definedName>
    <definedName name="chart_sales_units_yearly_variance" localSheetId="16">'Sales and COGS Forecasts'!#REF!</definedName>
    <definedName name="chart_sales_units_yearly_variance" localSheetId="1">'Sales and COGS Forecasts (OLD)'!#REF!</definedName>
    <definedName name="chart_sales_units_yearly_variance" localSheetId="0">'Sales Forecast (old)'!$FL$28:$FQ$31</definedName>
    <definedName name="chart_sales_units_yearly_variance">'Sales and COGS Forecasts'!#REF!</definedName>
    <definedName name="chart_sales_units_yearly_variance_st" localSheetId="15">'Sales and COGS Forecasts'!#REF!</definedName>
    <definedName name="chart_sales_units_yearly_variance_st" localSheetId="16">'Sales and COGS Forecasts'!#REF!</definedName>
    <definedName name="chart_sales_units_yearly_variance_st" localSheetId="1">'Sales and COGS Forecasts (OLD)'!#REF!</definedName>
    <definedName name="chart_sales_units_yearly_variance_st" localSheetId="0">'Sales Forecast (old)'!$FL$28:$FO$31</definedName>
    <definedName name="chart_sales_units_yearly_variance_st">'Sales and COGS Forecasts'!#REF!</definedName>
    <definedName name="chart_sales_values_monthly_actual" localSheetId="1">'Sales and COGS Forecasts (OLD)'!$AM$435:$AY$438</definedName>
    <definedName name="chart_sales_values_monthly_actual" localSheetId="0">'Sales Forecast (old)'!$ED$3:$EP$6</definedName>
    <definedName name="chart_sales_values_monthly_actual">'Sales and COGS Forecasts'!$AR$435:$BD$438</definedName>
    <definedName name="chart_sales_values_monthly_planned" localSheetId="15">'Sales and COGS Forecasts'!#REF!</definedName>
    <definedName name="chart_sales_values_monthly_planned" localSheetId="16">'Sales and COGS Forecasts'!#REF!</definedName>
    <definedName name="chart_sales_values_monthly_planned" localSheetId="1">'Sales and COGS Forecasts (OLD)'!#REF!</definedName>
    <definedName name="chart_sales_values_monthly_planned" localSheetId="0">'Sales Forecast (old)'!$BA$3:$BM$6</definedName>
    <definedName name="chart_sales_values_monthly_planned">'Sales and COGS Forecasts'!#REF!</definedName>
    <definedName name="chart_sales_values_monthly_variance" localSheetId="1">'Sales and COGS Forecasts (OLD)'!$BH$435:$BT$438</definedName>
    <definedName name="chart_sales_values_monthly_variance" localSheetId="0">'Sales Forecast (old)'!$EY$3:$FK$6</definedName>
    <definedName name="chart_sales_values_monthly_variance">'Sales and COGS Forecasts'!$BM$435:$BY$438</definedName>
    <definedName name="chart_sales_values_monthly_year2_planned" localSheetId="15">'Sales and COGS Forecasts'!#REF!</definedName>
    <definedName name="chart_sales_values_monthly_year2_planned" localSheetId="16">'Sales and COGS Forecasts'!#REF!</definedName>
    <definedName name="chart_sales_values_monthly_year2_planned" localSheetId="1">'Sales and COGS Forecasts (OLD)'!#REF!</definedName>
    <definedName name="chart_sales_values_monthly_year2_planned" localSheetId="0">'Sales Forecast (old)'!$CA$3:$CM$6</definedName>
    <definedName name="chart_sales_values_monthly_year2_planned">'Sales and COGS Forecasts'!#REF!</definedName>
    <definedName name="chart_sales_values_yearly_actual" localSheetId="1">'Sales and COGS Forecasts (OLD)'!$AZ$435:$BE$438</definedName>
    <definedName name="chart_sales_values_yearly_actual" localSheetId="0">'Sales Forecast (old)'!$EQ$3:$EV$6</definedName>
    <definedName name="chart_sales_values_yearly_actual">'Sales and COGS Forecasts'!$BE$435:$BJ$438</definedName>
    <definedName name="chart_sales_values_yearly_actual_st" localSheetId="1">'Sales and COGS Forecasts (OLD)'!$AZ$435:$BC$438</definedName>
    <definedName name="chart_sales_values_yearly_actual_st" localSheetId="0">'Sales Forecast (old)'!$EQ$3:$ET$6</definedName>
    <definedName name="chart_sales_values_yearly_actual_st">'Sales and COGS Forecasts'!$BE$435:$BH$438</definedName>
    <definedName name="chart_sales_values_yearly_planned" localSheetId="15">'Sales and COGS Forecasts'!#REF!</definedName>
    <definedName name="chart_sales_values_yearly_planned" localSheetId="16">'Sales and COGS Forecasts'!#REF!</definedName>
    <definedName name="chart_sales_values_yearly_planned" localSheetId="1">'Sales and COGS Forecasts (OLD)'!#REF!</definedName>
    <definedName name="chart_sales_values_yearly_planned" localSheetId="0">'Sales Forecast (old)'!$BN$3:$BS$6</definedName>
    <definedName name="chart_sales_values_yearly_planned">'Sales and COGS Forecasts'!#REF!</definedName>
    <definedName name="chart_sales_values_yearly_planned_st" localSheetId="15">'Sales and COGS Forecasts'!#REF!</definedName>
    <definedName name="chart_sales_values_yearly_planned_st" localSheetId="16">'Sales and COGS Forecasts'!#REF!</definedName>
    <definedName name="chart_sales_values_yearly_planned_st" localSheetId="1">'Sales and COGS Forecasts (OLD)'!#REF!</definedName>
    <definedName name="chart_sales_values_yearly_planned_st" localSheetId="0">'Sales Forecast (old)'!$BN$3:$BQ$6</definedName>
    <definedName name="chart_sales_values_yearly_planned_st">'Sales and COGS Forecasts'!#REF!</definedName>
    <definedName name="chart_sales_values_yearly_variance" localSheetId="1">'Sales and COGS Forecasts (OLD)'!$BU$435:$BZ$438</definedName>
    <definedName name="chart_sales_values_yearly_variance" localSheetId="0">'Sales Forecast (old)'!$FL$3:$FQ$6</definedName>
    <definedName name="chart_sales_values_yearly_variance">'Sales and COGS Forecasts'!$BZ$435:$CE$438</definedName>
    <definedName name="chart_sales_values_yearly_variance_st" localSheetId="1">'Sales and COGS Forecasts (OLD)'!$BU$435:$BX$438</definedName>
    <definedName name="chart_sales_values_yearly_variance_st" localSheetId="0">'Sales Forecast (old)'!$FL$3:$FO$6</definedName>
    <definedName name="chart_sales_values_yearly_variance_st">'Sales and COGS Forecasts'!$BZ$435:$CC$438</definedName>
    <definedName name="chart_sf_cash_planned">Financials!$D$68:$F$80</definedName>
    <definedName name="chart_sf_highlights_planned">Financials!$I$68:$L$73</definedName>
    <definedName name="chart_sf_highlights_planned_st">Financials!$I$68:$L$71</definedName>
    <definedName name="chart_sf_monthly_profit_planned">Financials!$I$49:$J$61</definedName>
    <definedName name="chart_sf_monthly_sales_planned">Financials!$D$49:$E$61</definedName>
    <definedName name="chart_startup">#REF!</definedName>
    <definedName name="chart_yearly_grossmargin_actual">'P&amp;L'!$DF$66:$DG$71</definedName>
    <definedName name="chart_yearly_grossmargin_actual_st">'P&amp;L'!$DF$66:$DG$69</definedName>
    <definedName name="chart_yearly_grossmargin_planned">'P&amp;L'!$AH$66:$AH$71</definedName>
    <definedName name="chart_yearly_grossmargin_planned_st">'P&amp;L'!$AH$66:$AH$69</definedName>
    <definedName name="chart_yearly_grossmargin_variance">'P&amp;L'!$DY$66:$DZ$71</definedName>
    <definedName name="chart_yearly_grossmargin_variance_st">'P&amp;L'!$DY$66:$DZ$69</definedName>
    <definedName name="charts_sf_yearly_profit_planned">Financials!$K$49:$L$54</definedName>
    <definedName name="charts_sf_yearly_profit_planned_st">Financials!$K$49:$L$52</definedName>
    <definedName name="charts_sf_yearly_sales_planned">Financials!$F$49:$G$54</definedName>
    <definedName name="charts_sf_yearly_sales_planned_st">Financials!$F$49:$G$52</definedName>
    <definedName name="charts_yearly_profit_actual">'P&amp;L'!$CZ$66:$DA$71</definedName>
    <definedName name="charts_yearly_profit_actual_st">'P&amp;L'!$CZ$66:$DA$69</definedName>
    <definedName name="charts_yearly_profit_planned">'P&amp;L'!$O$66:$P$71</definedName>
    <definedName name="charts_yearly_profit_planned_st">'P&amp;L'!$O$66:$P$69</definedName>
    <definedName name="charts_yearly_profit_variance">'P&amp;L'!$DS$66:$DT$71</definedName>
    <definedName name="charts_yearly_profit_variance_st">'P&amp;L'!$DS$66:$DT$69</definedName>
    <definedName name="CIQWBGuid" hidden="1">"a50555a0-0c4b-4827-9b68-c38a8fd23028"</definedName>
    <definedName name="colhide_balancesheet_annuals" localSheetId="15">Balance!#REF!</definedName>
    <definedName name="colhide_balancesheet_annuals" localSheetId="16">Balance!#REF!</definedName>
    <definedName name="colhide_balancesheet_annuals" localSheetId="1">Balance!#REF!</definedName>
    <definedName name="colhide_balancesheet_annuals">Balance!#REF!</definedName>
    <definedName name="colhide_balancesheet_annuals1">Balance!$AG:$AG</definedName>
    <definedName name="colhide_balancesheet_longterm_planned">Balance!$AI:$AJ</definedName>
    <definedName name="colhide_be">'Break-even'!$B$2:$N$2</definedName>
    <definedName name="colhide_cashflow_annuals" localSheetId="15">DCF!#REF!</definedName>
    <definedName name="colhide_cashflow_annuals" localSheetId="16">'Hi-Vol Surgeons'!#REF!</definedName>
    <definedName name="colhide_cashflow_annuals" localSheetId="1">'Cash Flow'!#REF!</definedName>
    <definedName name="colhide_cashflow_annuals">'Cash Flow'!#REF!</definedName>
    <definedName name="colhide_cashflow_annuals1" localSheetId="15">DCF!$D:$D</definedName>
    <definedName name="colhide_cashflow_annuals1" localSheetId="16">'Hi-Vol Surgeons'!$D:$D</definedName>
    <definedName name="colhide_cashflow_annuals1">'Cash Flow'!$AG:$AG</definedName>
    <definedName name="colhide_cashflow_longterm_planned" localSheetId="15">DCF!$F:$G</definedName>
    <definedName name="colhide_cashflow_longterm_planned" localSheetId="16">'Hi-Vol Surgeons'!$F:$G</definedName>
    <definedName name="colhide_cashflow_longterm_planned">'Cash Flow'!$AI:$AJ</definedName>
    <definedName name="colhide_financials_annuals">Financials!$R:$S</definedName>
    <definedName name="colhide_generalassumptions_annuals" localSheetId="15">Calculations!#REF!</definedName>
    <definedName name="colhide_generalassumptions_annuals" localSheetId="16">Calculations!#REF!</definedName>
    <definedName name="colhide_generalassumptions_annuals" localSheetId="1">Calculations!#REF!</definedName>
    <definedName name="colhide_generalassumptions_annuals">Calculations!#REF!</definedName>
    <definedName name="colhide_generalassumptions_annuals1">Calculations!$AD:$AD</definedName>
    <definedName name="colhide_generalassumptions_longterm_planned">Calculations!$AF:$AG</definedName>
    <definedName name="colhide_ia">#REF!</definedName>
    <definedName name="colhide_ia_longterm">#REF!</definedName>
    <definedName name="colhide_ia2">#REF!</definedName>
    <definedName name="colhide_inventorydetail_annuals">#REF!</definedName>
    <definedName name="colhide_inventorydetail_annuals1">#REF!</definedName>
    <definedName name="colhide_inventorydetail_longterm_planned">#REF!</definedName>
    <definedName name="colhide_lt">'Long term'!$B$3:$N$3</definedName>
    <definedName name="colhide_lt2">'Long term'!$P:$AC</definedName>
    <definedName name="colhide_payablesdetail_annuals">#REF!</definedName>
    <definedName name="colhide_payablesdetail_annuals1">#REF!</definedName>
    <definedName name="colhide_payablesdetail_longterm_planned">#REF!</definedName>
    <definedName name="colhide_pb1">#REF!</definedName>
    <definedName name="colhide_pb2">#REF!</definedName>
    <definedName name="colhide_personnel_annuals">Personnel!$AD:$AD</definedName>
    <definedName name="colhide_personnel_annuals1">Personnel!$AC:$AC</definedName>
    <definedName name="colhide_personnel_longterm_planned">Personnel!$AF:$AG</definedName>
    <definedName name="colhide_profitandloss_annuals" localSheetId="15">'P&amp;L'!#REF!</definedName>
    <definedName name="colhide_profitandloss_annuals" localSheetId="16">'P&amp;L'!#REF!</definedName>
    <definedName name="colhide_profitandloss_annuals" localSheetId="1">'P&amp;L'!#REF!</definedName>
    <definedName name="colhide_profitandloss_annuals">'P&amp;L'!#REF!</definedName>
    <definedName name="colhide_profitandloss_annuals1">'P&amp;L'!$AG:$AG</definedName>
    <definedName name="colhide_profitandloss_longterm_actual">'P&amp;L'!$DH:$DI</definedName>
    <definedName name="colhide_profitandloss_longterm_planned">'P&amp;L'!$AI:$AJ</definedName>
    <definedName name="colhide_profitandloss_longterm_variance">'P&amp;L'!$EA:$EB</definedName>
    <definedName name="colhide_ra">Ratios!$B:$N</definedName>
    <definedName name="colhide_ra_longterm">Ratios!$AF:$AG</definedName>
    <definedName name="colhide_ra_year2a">Ratios!$AC:$AC</definedName>
    <definedName name="colhide_ra_year2b">Ratios!$AD:$AD</definedName>
    <definedName name="colhide_ra1">Ratios!$P:$AB</definedName>
    <definedName name="colhide_receivablesdetail_annuals">#REF!</definedName>
    <definedName name="colhide_receivablesdetail_annuals1">#REF!</definedName>
    <definedName name="colhide_receivablesdetail_longterm_planned">#REF!</definedName>
    <definedName name="colhide_sales_annuals" localSheetId="15">'Sales and COGS Forecasts'!#REF!</definedName>
    <definedName name="colhide_sales_annuals" localSheetId="16">'Sales and COGS Forecasts'!#REF!</definedName>
    <definedName name="colhide_sales_annuals" localSheetId="1">'Sales and COGS Forecasts (OLD)'!#REF!</definedName>
    <definedName name="colhide_sales_annuals" localSheetId="0">'Sales Forecast (old)'!$AD:$AD</definedName>
    <definedName name="colhide_sales_annuals">'Sales and COGS Forecasts'!#REF!</definedName>
    <definedName name="colhide_sales_annuals1" localSheetId="1">'Sales and COGS Forecasts (OLD)'!$AB:$AB</definedName>
    <definedName name="colhide_sales_annuals1" localSheetId="0">'Sales Forecast (old)'!$AC:$AC</definedName>
    <definedName name="colhide_sales_annuals1">'Sales and COGS Forecasts'!$AG:$AG</definedName>
    <definedName name="colhide_sales_longterm_actual" localSheetId="15">'Sales and COGS Forecasts'!#REF!</definedName>
    <definedName name="colhide_sales_longterm_actual" localSheetId="16">'Sales and COGS Forecasts'!#REF!</definedName>
    <definedName name="colhide_sales_longterm_actual" localSheetId="1">'Sales and COGS Forecasts (OLD)'!#REF!</definedName>
    <definedName name="colhide_sales_longterm_actual" localSheetId="0">'Sales Forecast (old)'!$DE:$DF</definedName>
    <definedName name="colhide_sales_longterm_actual">'Sales and COGS Forecasts'!#REF!</definedName>
    <definedName name="colhide_sales_longterm_planned" localSheetId="1">'Sales and COGS Forecasts (OLD)'!$AD:$AE</definedName>
    <definedName name="colhide_sales_longterm_planned" localSheetId="0">'Sales Forecast (old)'!$AF:$AG</definedName>
    <definedName name="colhide_sales_longterm_planned">'Sales and COGS Forecasts'!$AI:$AJ</definedName>
    <definedName name="colhide_sales_longterm_variance" localSheetId="15">'Sales and COGS Forecasts'!#REF!</definedName>
    <definedName name="colhide_sales_longterm_variance" localSheetId="16">'Sales and COGS Forecasts'!#REF!</definedName>
    <definedName name="colhide_sales_longterm_variance" localSheetId="1">'Sales and COGS Forecasts (OLD)'!#REF!</definedName>
    <definedName name="colhide_sales_longterm_variance" localSheetId="0">'Sales Forecast (old)'!$DX:$DY</definedName>
    <definedName name="colhide_sales_longterm_variance">'Sales and COGS Forecasts'!#REF!</definedName>
    <definedName name="colhide_sourcesanduses_annuals">'Sources and Uses'!$AD:$AD</definedName>
    <definedName name="colhide_sourcesanduses_annuals1">'Sources and Uses'!$AC:$AC</definedName>
    <definedName name="colhide_sourcesanduses_longterm_planned">'Sources and Uses'!$AF:$AG</definedName>
    <definedName name="collection_days">Ratios!$A$37:$AH$37</definedName>
    <definedName name="collection_days_estimator">#REF!</definedName>
    <definedName name="Collection_Period">#REF!</definedName>
    <definedName name="cost_of_unit_sales">'P&amp;L'!$A$6:$AQ$6</definedName>
    <definedName name="CP_AccountsPayable_Source" localSheetId="15">Balance!#REF!</definedName>
    <definedName name="CP_AccountsPayable_Source" localSheetId="16">Balance!#REF!</definedName>
    <definedName name="CP_AccountsPayable_Source" localSheetId="1">Balance!#REF!</definedName>
    <definedName name="CP_AccountsPayable_Source">Balance!#REF!</definedName>
    <definedName name="CP_AccountsPayable_Target" localSheetId="15">Balance!#REF!</definedName>
    <definedName name="CP_AccountsPayable_Target" localSheetId="16">Balance!#REF!</definedName>
    <definedName name="CP_AccountsPayable_Target" localSheetId="1">Balance!#REF!</definedName>
    <definedName name="CP_AccountsPayable_Target">Balance!#REF!</definedName>
    <definedName name="CP_AccountsReceivable_Source">Balance!$B$40:$AF$40</definedName>
    <definedName name="CP_AccountsReceivable_Target" localSheetId="15">Balance!#REF!</definedName>
    <definedName name="CP_AccountsReceivable_Target" localSheetId="16">Balance!#REF!</definedName>
    <definedName name="CP_AccountsReceivable_Target" localSheetId="1">Balance!#REF!</definedName>
    <definedName name="CP_AccountsReceivable_Target">Balance!#REF!</definedName>
    <definedName name="CP_Cash_Source">Balance!$B$39:$AF$39</definedName>
    <definedName name="CP_Cash_Target" localSheetId="15">Balance!#REF!</definedName>
    <definedName name="CP_Cash_Target" localSheetId="16">Balance!#REF!</definedName>
    <definedName name="CP_Cash_Target" localSheetId="1">Balance!#REF!</definedName>
    <definedName name="CP_Cash_Target">Balance!#REF!</definedName>
    <definedName name="CP_CollectionDays_Variable1" localSheetId="15">Balance!#REF!</definedName>
    <definedName name="CP_CollectionDays_Variable1" localSheetId="16">Balance!#REF!</definedName>
    <definedName name="CP_CollectionDays_Variable1" localSheetId="1">Balance!#REF!</definedName>
    <definedName name="CP_CollectionDays_Variable1">Balance!#REF!</definedName>
    <definedName name="CP_CollectionDays_Variable2" localSheetId="15">Balance!#REF!</definedName>
    <definedName name="CP_CollectionDays_Variable2" localSheetId="16">Balance!#REF!</definedName>
    <definedName name="CP_CollectionDays_Variable2" localSheetId="1">Balance!#REF!</definedName>
    <definedName name="CP_CollectionDays_Variable2">Balance!#REF!</definedName>
    <definedName name="CP_CollectionDays1">#REF!</definedName>
    <definedName name="CP_CollectionDays2">#REF!</definedName>
    <definedName name="CP_Inventory_Source">Balance!$B$42:$AF$42</definedName>
    <definedName name="CP_Inventory_Target" localSheetId="15">Balance!#REF!</definedName>
    <definedName name="CP_Inventory_Target" localSheetId="16">Balance!#REF!</definedName>
    <definedName name="CP_Inventory_Target" localSheetId="1">Balance!#REF!</definedName>
    <definedName name="CP_Inventory_Target">Balance!#REF!</definedName>
    <definedName name="CP_InventoryTurns_Variable1" localSheetId="15">Balance!#REF!</definedName>
    <definedName name="CP_InventoryTurns_Variable1" localSheetId="16">Balance!#REF!</definedName>
    <definedName name="CP_InventoryTurns_Variable1" localSheetId="1">Balance!#REF!</definedName>
    <definedName name="CP_InventoryTurns_Variable1">Balance!#REF!</definedName>
    <definedName name="CP_InventoryTurns_Variable2" localSheetId="15">Balance!#REF!</definedName>
    <definedName name="CP_InventoryTurns_Variable2" localSheetId="16">Balance!#REF!</definedName>
    <definedName name="CP_InventoryTurns_Variable2" localSheetId="1">Balance!#REF!</definedName>
    <definedName name="CP_InventoryTurns_Variable2">Balance!#REF!</definedName>
    <definedName name="CP_InventoryTurns1">#REF!</definedName>
    <definedName name="CP_InventoryTurns2">#REF!</definedName>
    <definedName name="CP_MinimumInventoryPurchase_Variable1" localSheetId="15">Balance!#REF!</definedName>
    <definedName name="CP_MinimumInventoryPurchase_Variable1" localSheetId="16">Balance!#REF!</definedName>
    <definedName name="CP_MinimumInventoryPurchase_Variable1" localSheetId="1">Balance!#REF!</definedName>
    <definedName name="CP_MinimumInventoryPurchase_Variable1">Balance!#REF!</definedName>
    <definedName name="CP_MinimumInventoryPurchase_Variable2" localSheetId="15">Balance!#REF!</definedName>
    <definedName name="CP_MinimumInventoryPurchase_Variable2" localSheetId="16">Balance!#REF!</definedName>
    <definedName name="CP_MinimumInventoryPurchase_Variable2" localSheetId="1">Balance!#REF!</definedName>
    <definedName name="CP_MinimumInventoryPurchase_Variable2">Balance!#REF!</definedName>
    <definedName name="CP_MinimumInventoryPurchase1">#REF!</definedName>
    <definedName name="CP_PaymentDays_Variable1" localSheetId="15">Balance!#REF!</definedName>
    <definedName name="CP_PaymentDays_Variable1" localSheetId="16">Balance!#REF!</definedName>
    <definedName name="CP_PaymentDays_Variable1" localSheetId="1">Balance!#REF!</definedName>
    <definedName name="CP_PaymentDays_Variable1">Balance!#REF!</definedName>
    <definedName name="CP_PaymentDays_Variable2" localSheetId="15">Balance!#REF!</definedName>
    <definedName name="CP_PaymentDays_Variable2" localSheetId="16">Balance!#REF!</definedName>
    <definedName name="CP_PaymentDays_Variable2" localSheetId="1">Balance!#REF!</definedName>
    <definedName name="CP_PaymentDays_Variable2">Balance!#REF!</definedName>
    <definedName name="CP_PaymentDays1">#REF!</definedName>
    <definedName name="CP_PaymentDays2">#REF!</definedName>
    <definedName name="CP_SalesOnCreditPercent_Variable1" localSheetId="15">Balance!#REF!</definedName>
    <definedName name="CP_SalesOnCreditPercent_Variable1" localSheetId="16">Balance!#REF!</definedName>
    <definedName name="CP_SalesOnCreditPercent_Variable1" localSheetId="1">Balance!#REF!</definedName>
    <definedName name="CP_SalesOnCreditPercent_Variable1">Balance!#REF!</definedName>
    <definedName name="CP_SalesOnCreditPercent_Variable2" localSheetId="15">Balance!#REF!</definedName>
    <definedName name="CP_SalesOnCreditPercent_Variable2" localSheetId="16">Balance!#REF!</definedName>
    <definedName name="CP_SalesOnCreditPercent_Variable2" localSheetId="1">Balance!#REF!</definedName>
    <definedName name="CP_SalesOnCreditPercent_Variable2">Balance!#REF!</definedName>
    <definedName name="CP_SalesOnCreditPercent1">#REF!</definedName>
    <definedName name="CP_SalesOnCreditPercent2">#REF!</definedName>
    <definedName name="current_borrowing">Balance!$A$20:$AJ$20</definedName>
    <definedName name="current_interest_rate">Calculations!$A$140:$AG$140</definedName>
    <definedName name="db_balance_cat1">Balance!$H$7:$AJ$8</definedName>
    <definedName name="db_balance_cat2">Balance!$H$19:$AJ$19</definedName>
    <definedName name="db_breakevenanalysis">'Break-even'!$O$7:$O$10</definedName>
    <definedName name="db_cash_cat1" localSheetId="15">DCF!#REF!</definedName>
    <definedName name="db_cash_cat1" localSheetId="16">'Hi-Vol Surgeons'!#REF!</definedName>
    <definedName name="db_cash_cat1" localSheetId="1">'Cash Flow'!#REF!</definedName>
    <definedName name="db_cash_cat1">'Cash Flow'!#REF!</definedName>
    <definedName name="db_cash_cat2" localSheetId="15">DCF!#REF!</definedName>
    <definedName name="db_cash_cat2" localSheetId="16">'Hi-Vol Surgeons'!#REF!</definedName>
    <definedName name="db_cash_cat2" localSheetId="1">'Cash Flow'!#REF!</definedName>
    <definedName name="db_cash_cat2">'Cash Flow'!#REF!</definedName>
    <definedName name="db_cash_cat3" localSheetId="15">DCF!#REF!</definedName>
    <definedName name="db_cash_cat3" localSheetId="16">'Hi-Vol Surgeons'!#REF!</definedName>
    <definedName name="db_cash_cat3" localSheetId="1">'Cash Flow'!#REF!</definedName>
    <definedName name="db_cash_cat3">'Cash Flow'!#REF!</definedName>
    <definedName name="db_fundingliabilities">Funding!$A$17:$B$20</definedName>
    <definedName name="db_generalassumptions">Calculations!$A$156:$AG$156</definedName>
    <definedName name="db_generalassumptions2" localSheetId="15">Calculations!#REF!</definedName>
    <definedName name="db_generalassumptions2" localSheetId="16">Calculations!#REF!</definedName>
    <definedName name="db_generalassumptions2" localSheetId="1">Calculations!#REF!</definedName>
    <definedName name="db_generalassumptions2">Calculations!#REF!</definedName>
    <definedName name="db_income_range_cat1">'P&amp;L'!$A$8:$AJ$9</definedName>
    <definedName name="db_income_range_cat1_actual">'P&amp;L'!$CR$7:$DI$8</definedName>
    <definedName name="db_income_range_cat2" localSheetId="15">'P&amp;L'!#REF!</definedName>
    <definedName name="db_income_range_cat2" localSheetId="16">'P&amp;L'!#REF!</definedName>
    <definedName name="db_income_range_cat2" localSheetId="1">'P&amp;L'!#REF!</definedName>
    <definedName name="db_income_range_cat2" localSheetId="0">'P&amp;L'!#REF!</definedName>
    <definedName name="db_income_range_cat2">'P&amp;L'!#REF!</definedName>
    <definedName name="db_income_range_cat2_actual" localSheetId="15">'P&amp;L'!#REF!</definedName>
    <definedName name="db_income_range_cat2_actual" localSheetId="16">'P&amp;L'!#REF!</definedName>
    <definedName name="db_income_range_cat2_actual" localSheetId="1">'P&amp;L'!#REF!</definedName>
    <definedName name="db_income_range_cat2_actual" localSheetId="0">'P&amp;L'!#REF!</definedName>
    <definedName name="db_income_range_cat2_actual">'P&amp;L'!#REF!</definedName>
    <definedName name="db_income_range_cat3">'P&amp;L'!$A$23:$AJ$30</definedName>
    <definedName name="db_income_range_cat3_actual">'P&amp;L'!$CR$20:$DI$30</definedName>
    <definedName name="db_income_range_cat4" localSheetId="15">'P&amp;L'!#REF!</definedName>
    <definedName name="db_income_range_cat4" localSheetId="16">'P&amp;L'!#REF!</definedName>
    <definedName name="db_income_range_cat4" localSheetId="1">'P&amp;L'!#REF!</definedName>
    <definedName name="db_income_range_cat4" localSheetId="0">'P&amp;L'!#REF!</definedName>
    <definedName name="db_income_range_cat4">'P&amp;L'!#REF!</definedName>
    <definedName name="db_income_range_cat4_actual" localSheetId="15">'P&amp;L'!#REF!</definedName>
    <definedName name="db_income_range_cat4_actual" localSheetId="16">'P&amp;L'!#REF!</definedName>
    <definedName name="db_income_range_cat4_actual" localSheetId="1">'P&amp;L'!#REF!</definedName>
    <definedName name="db_income_range_cat4_actual" localSheetId="0">'P&amp;L'!#REF!</definedName>
    <definedName name="db_income_range_cat4_actual">'P&amp;L'!#REF!</definedName>
    <definedName name="db_income_range_cat5" localSheetId="15">'P&amp;L'!#REF!</definedName>
    <definedName name="db_income_range_cat5" localSheetId="16">'P&amp;L'!#REF!</definedName>
    <definedName name="db_income_range_cat5" localSheetId="1">'P&amp;L'!#REF!</definedName>
    <definedName name="db_income_range_cat5">'P&amp;L'!#REF!</definedName>
    <definedName name="db_income_range_cat5_actual">'P&amp;L'!$CR$46:$DI$47</definedName>
    <definedName name="db_income_range_cat6" localSheetId="15">'P&amp;L'!#REF!</definedName>
    <definedName name="db_income_range_cat6" localSheetId="16">'P&amp;L'!#REF!</definedName>
    <definedName name="db_income_range_cat6" localSheetId="1">'P&amp;L'!#REF!</definedName>
    <definedName name="db_income_range_cat6">'P&amp;L'!#REF!</definedName>
    <definedName name="db_income_range_cat6_actual" localSheetId="15">'P&amp;L'!#REF!</definedName>
    <definedName name="db_income_range_cat6_actual" localSheetId="16">'P&amp;L'!#REF!</definedName>
    <definedName name="db_income_range_cat6_actual" localSheetId="1">'P&amp;L'!#REF!</definedName>
    <definedName name="db_income_range_cat6_actual">'P&amp;L'!#REF!</definedName>
    <definedName name="db_income_range_cat7">'P&amp;L'!$A$22:$AJ$22</definedName>
    <definedName name="db_income_range_cat7_actual" localSheetId="15">'P&amp;L'!#REF!</definedName>
    <definedName name="db_income_range_cat7_actual" localSheetId="16">'P&amp;L'!#REF!</definedName>
    <definedName name="db_income_range_cat7_actual" localSheetId="1">'P&amp;L'!#REF!</definedName>
    <definedName name="db_income_range_cat7_actual">'P&amp;L'!#REF!</definedName>
    <definedName name="db_inventorydetail_cat1">#REF!</definedName>
    <definedName name="db_inventorydetail_cat2">#REF!</definedName>
    <definedName name="db_investmentanalysis_assumptions">#REF!</definedName>
    <definedName name="db_investmentanalysis_initialinvestment">#REF!</definedName>
    <definedName name="db_investmentoffering_cat1">#REF!</definedName>
    <definedName name="db_investmentoffering_cat2">#REF!</definedName>
    <definedName name="db_investmentoffering_cat3">#REF!</definedName>
    <definedName name="db_investmentoffering_cat4">#REF!</definedName>
    <definedName name="db_investmentoffering_cat5">#REF!</definedName>
    <definedName name="db_longterm">'Long term'!$AH$3:$AL$14</definedName>
    <definedName name="db_marketanalysis">Market!$A$4:$G$5</definedName>
    <definedName name="db_milestones">Milestones!$A$4:$F$23</definedName>
    <definedName name="db_milestones_actual">Milestones!$AB$4:$AF$23</definedName>
    <definedName name="db_networth_cat1">'Personal Net Worth'!$A$6:$C$12</definedName>
    <definedName name="db_networth_cat2">'Personal Net Worth'!$A$16:$C$19</definedName>
    <definedName name="db_networth_cat3">'Personal Net Worth'!$A$27:$C$33</definedName>
    <definedName name="db_networth_cat4">'Personal Net Worth'!$A$37:$C$39</definedName>
    <definedName name="db_pastperformance_capital">Past!$A$36:$D$38</definedName>
    <definedName name="db_pastperformance_liabilities">Past!$A$28:$D$30</definedName>
    <definedName name="db_pastperformance_longtermassets">Past!$A$21:$D$22</definedName>
    <definedName name="db_pastperformance_longtermliabilities">Past!$A$33:$D$33</definedName>
    <definedName name="db_pastperformance_otherinputs">Past!$A$44:$D$45</definedName>
    <definedName name="db_pastperformance_sales">Past!$A$3:$D$8</definedName>
    <definedName name="db_pastperformance_shorttermassets">Past!$A$14:$D$17</definedName>
    <definedName name="db_payablesdetail_cat1">#REF!</definedName>
    <definedName name="db_payablesdetail_cat2">#REF!</definedName>
    <definedName name="db_payback_cat2">#REF!</definedName>
    <definedName name="db_payback_cat3">#REF!</definedName>
    <definedName name="db_personnel_complex_cat1">Personnel!$A$17:$AG$19</definedName>
    <definedName name="db_personnel_complex_cat2">Personnel!$A$23:$AG$25</definedName>
    <definedName name="db_personnel_complex_cat3">Personnel!$A$29:$AG$31</definedName>
    <definedName name="db_personnel_complex_cat4">Personnel!$A$35:$AG$37</definedName>
    <definedName name="db_personnel_complex_headcount">Personnel!$A$40:$AG$40</definedName>
    <definedName name="db_personnel_medium">Personnel!$A$7:$AG$9</definedName>
    <definedName name="db_personnel_medium_headcount">Personnel!$A$10:$AG$10</definedName>
    <definedName name="db_personnel_peoplebased_cat1">Personnel!$A$47:$AG$48</definedName>
    <definedName name="db_personnel_peoplebased_cat2">Personnel!$A$52:$AG$53</definedName>
    <definedName name="db_personnel_peoplebased_cat3">Personnel!$A$57:$AG$58</definedName>
    <definedName name="db_personnel_peoplebased_cat4">Personnel!$A$62:$AG$63</definedName>
    <definedName name="db_personnel_simple">Personnel!$A$3:$AG$3</definedName>
    <definedName name="db_plannedinvestment">Funding!$A$26:$B$27</definedName>
    <definedName name="db_ratioanalysis_cat1">Ratios!$O$20:$AG$21</definedName>
    <definedName name="db_ratioanalysis_cat2">Ratios!$AH$31:$AH$56</definedName>
    <definedName name="db_ratioanalysis_integra">Ratios!$AH$3:$AH$29</definedName>
    <definedName name="db_receivablesdetail_cat1">#REF!</definedName>
    <definedName name="db_receivablesdetail_cat2">#REF!</definedName>
    <definedName name="db_sales_units_annual_growth" localSheetId="15">'Sales and COGS Forecasts'!#REF!</definedName>
    <definedName name="db_sales_units_annual_growth" localSheetId="16">'Sales and COGS Forecasts'!#REF!</definedName>
    <definedName name="db_sales_units_annual_growth" localSheetId="1">'Sales and COGS Forecasts (OLD)'!#REF!</definedName>
    <definedName name="db_sales_units_annual_growth" localSheetId="0">'Sales Forecast (old)'!$AJ$18:$AJ$20</definedName>
    <definedName name="db_sales_units_annual_growth">'Sales and COGS Forecasts'!#REF!</definedName>
    <definedName name="db_sales_units_directcostofsales_actual" localSheetId="15">'Sales and COGS Forecasts'!#REF!</definedName>
    <definedName name="db_sales_units_directcostofsales_actual" localSheetId="16">'Sales and COGS Forecasts'!#REF!</definedName>
    <definedName name="db_sales_units_directcostofsales_actual" localSheetId="1">'Sales and COGS Forecasts (OLD)'!#REF!</definedName>
    <definedName name="db_sales_units_directcostofsales_actual" localSheetId="0">'Sales Forecast (old)'!$CO$40:$DF$42</definedName>
    <definedName name="db_sales_units_directcostofsales_actual">'Sales and COGS Forecasts'!#REF!</definedName>
    <definedName name="db_sales_units_sales_actual" localSheetId="15">'Sales and COGS Forecasts'!#REF!</definedName>
    <definedName name="db_sales_units_sales_actual" localSheetId="16">'Sales and COGS Forecasts'!#REF!</definedName>
    <definedName name="db_sales_units_sales_actual" localSheetId="1">'Sales and COGS Forecasts (OLD)'!#REF!</definedName>
    <definedName name="db_sales_units_sales_actual" localSheetId="0">'Sales Forecast (old)'!$CO$29:$DF$31</definedName>
    <definedName name="db_sales_units_sales_actual">'Sales and COGS Forecasts'!#REF!</definedName>
    <definedName name="db_sales_units_unitcosts" localSheetId="15">'Sales and COGS Forecasts'!#REF!</definedName>
    <definedName name="db_sales_units_unitcosts" localSheetId="16">'Sales and COGS Forecasts'!#REF!</definedName>
    <definedName name="db_sales_units_unitcosts" localSheetId="1">'Sales and COGS Forecasts (OLD)'!#REF!</definedName>
    <definedName name="db_sales_units_unitcosts" localSheetId="0">'Sales Forecast (old)'!$A$35:$AG$37</definedName>
    <definedName name="db_sales_units_unitcosts">'Sales and COGS Forecasts'!#REF!</definedName>
    <definedName name="db_sales_units_unitprice" localSheetId="15">'Sales and COGS Forecasts'!#REF!</definedName>
    <definedName name="db_sales_units_unitprice" localSheetId="16">'Sales and COGS Forecasts'!#REF!</definedName>
    <definedName name="db_sales_units_unitprice" localSheetId="1">'Sales and COGS Forecasts (OLD)'!#REF!</definedName>
    <definedName name="db_sales_units_unitprice" localSheetId="0">'Sales Forecast (old)'!$A$24:$AG$26</definedName>
    <definedName name="db_sales_units_unitprice">'Sales and COGS Forecasts'!#REF!</definedName>
    <definedName name="db_sales_units_units" localSheetId="15">'Sales and COGS Forecasts'!#REF!</definedName>
    <definedName name="db_sales_units_units" localSheetId="16">'Sales and COGS Forecasts'!#REF!</definedName>
    <definedName name="db_sales_units_units" localSheetId="1">'Sales and COGS Forecasts (OLD)'!#REF!</definedName>
    <definedName name="db_sales_units_units" localSheetId="0">'Sales Forecast (old)'!$A$18:$AG$20</definedName>
    <definedName name="db_sales_units_units">'Sales and COGS Forecasts'!#REF!</definedName>
    <definedName name="db_sales_units_units_actual" localSheetId="15">'Sales and COGS Forecasts'!#REF!</definedName>
    <definedName name="db_sales_units_units_actual" localSheetId="16">'Sales and COGS Forecasts'!#REF!</definedName>
    <definedName name="db_sales_units_units_actual" localSheetId="1">'Sales and COGS Forecasts (OLD)'!#REF!</definedName>
    <definedName name="db_sales_units_units_actual" localSheetId="0">'Sales Forecast (old)'!$CO$18:$DF$20</definedName>
    <definedName name="db_sales_units_units_actual">'Sales and COGS Forecasts'!#REF!</definedName>
    <definedName name="db_sales_values_costs" localSheetId="15">'Sales and COGS Forecasts'!#REF!</definedName>
    <definedName name="db_sales_values_costs" localSheetId="16">'Sales and COGS Forecasts'!#REF!</definedName>
    <definedName name="db_sales_values_costs" localSheetId="1">'Sales and COGS Forecasts (OLD)'!#REF!</definedName>
    <definedName name="db_sales_values_costs" localSheetId="0">'Sales Forecast (old)'!$A$10:$AG$11</definedName>
    <definedName name="db_sales_values_costs">'Sales and COGS Forecasts'!#REF!</definedName>
    <definedName name="db_sales_values_costs_actual" localSheetId="15">'Sales and COGS Forecasts'!#REF!</definedName>
    <definedName name="db_sales_values_costs_actual" localSheetId="16">'Sales and COGS Forecasts'!#REF!</definedName>
    <definedName name="db_sales_values_costs_actual" localSheetId="1">'Sales and COGS Forecasts (OLD)'!#REF!</definedName>
    <definedName name="db_sales_values_costs_actual" localSheetId="0">'Sales Forecast (old)'!$CO$10:$DF$11</definedName>
    <definedName name="db_sales_values_costs_actual">'Sales and COGS Forecasts'!#REF!</definedName>
    <definedName name="db_sales_values_costs_annual_growth" localSheetId="15">'Sales and COGS Forecasts'!#REF!</definedName>
    <definedName name="db_sales_values_costs_annual_growth" localSheetId="16">'Sales and COGS Forecasts'!#REF!</definedName>
    <definedName name="db_sales_values_costs_annual_growth" localSheetId="1">'Sales and COGS Forecasts (OLD)'!#REF!</definedName>
    <definedName name="db_sales_values_costs_annual_growth" localSheetId="0">'Sales Forecast (old)'!$AJ$10:$AJ$11</definedName>
    <definedName name="db_sales_values_costs_annual_growth">'Sales and COGS Forecasts'!#REF!</definedName>
    <definedName name="db_sales_values_sales" localSheetId="1">'Sales and COGS Forecasts (OLD)'!$A$436:$AE$438</definedName>
    <definedName name="db_sales_values_sales" localSheetId="0">'Sales Forecast (old)'!$A$4:$AG$6</definedName>
    <definedName name="db_sales_values_sales">'Sales and COGS Forecasts'!$A$436:$AJ$438</definedName>
    <definedName name="db_sales_values_sales_actual" localSheetId="15">'Sales and COGS Forecasts'!#REF!</definedName>
    <definedName name="db_sales_values_sales_actual" localSheetId="16">'Sales and COGS Forecasts'!#REF!</definedName>
    <definedName name="db_sales_values_sales_actual" localSheetId="1">'Sales and COGS Forecasts (OLD)'!#REF!</definedName>
    <definedName name="db_sales_values_sales_actual" localSheetId="0">'Sales Forecast (old)'!$CO$4:$DF$6</definedName>
    <definedName name="db_sales_values_sales_actual">'Sales and COGS Forecasts'!#REF!</definedName>
    <definedName name="db_sales_values_sales_annual_growth" localSheetId="1">'Sales and COGS Forecasts (OLD)'!$AH$436:$AH$438</definedName>
    <definedName name="db_sales_values_sales_annual_growth" localSheetId="0">'Sales Forecast (old)'!$AJ$4:$AJ$6</definedName>
    <definedName name="db_sales_values_sales_annual_growth">'Sales and COGS Forecasts'!$AM$436:$AM$438</definedName>
    <definedName name="db_simplefinancials_cat1">Financials!$A$4:$C$4</definedName>
    <definedName name="db_simplefinancials_cat2">Financials!$A$7:$S$11</definedName>
    <definedName name="db_simplefinancials_cat3">Financials!$A$17:$S$19</definedName>
    <definedName name="db_simplefinancials_cat4">Financials!$A$22:$S$26</definedName>
    <definedName name="db_simplefinancials_cat5">Financials!$A$29:$S$33</definedName>
    <definedName name="db_startup_assetsneeded">#REF!</definedName>
    <definedName name="db_startup_expenses">#REF!</definedName>
    <definedName name="db_useoffunds">'Use of Funds'!$A$4:$B$7</definedName>
    <definedName name="dba_balance_planned">Balance!$A$33:$A$35</definedName>
    <definedName name="dba_breakevenanalysis">'Break-even'!$A$14:$A$15</definedName>
    <definedName name="dba_cashflow_planned" localSheetId="15">DCF!#REF!</definedName>
    <definedName name="dba_cashflow_planned" localSheetId="16">'Hi-Vol Surgeons'!#REF!</definedName>
    <definedName name="dba_cashflow_planned" localSheetId="1">'Cash Flow'!#REF!</definedName>
    <definedName name="dba_cashflow_planned">'Cash Flow'!#REF!</definedName>
    <definedName name="dba_funding">Funding!$A$42:$A$44</definedName>
    <definedName name="dba_generalassumptions_planned">Calculations!$E$141:$E$144</definedName>
    <definedName name="dba_inventorydetail">#REF!</definedName>
    <definedName name="dba_investmentanalysis">#REF!</definedName>
    <definedName name="dba_investmentoffering">#REF!</definedName>
    <definedName name="dba_longterm">'Long term'!$A$19:$A$20</definedName>
    <definedName name="dba_marketanalysis">Market!$A$10:$A$11</definedName>
    <definedName name="dba_milestones_planned">Milestones!$A$29:$A$31</definedName>
    <definedName name="dba_networth">'Personal Net Worth'!$A$48:$A$52</definedName>
    <definedName name="dba_pastperformance">Past!$A$49:$A$56</definedName>
    <definedName name="dba_payablesdetail">#REF!</definedName>
    <definedName name="dba_payback">#REF!</definedName>
    <definedName name="dba_personnel_planned">Personnel!$A$73:$A$85</definedName>
    <definedName name="dba_profitandloss_planned">'P&amp;L'!$A$54:$A$68</definedName>
    <definedName name="dba_ratios">Ratios!$A$60:$A$63</definedName>
    <definedName name="dba_receivablesdetail">#REF!</definedName>
    <definedName name="dba_sales_planned" localSheetId="1">'Sales and COGS Forecasts (OLD)'!$A$468:$A$481</definedName>
    <definedName name="dba_sales_planned" localSheetId="0">'Sales Forecast (old)'!$A$47:$A$60</definedName>
    <definedName name="dba_sales_planned">'Sales and COGS Forecasts'!$A$468:$A$481</definedName>
    <definedName name="dba_simplefinancials">Financials!$A$50:$A$55</definedName>
    <definedName name="dba_startup">#REF!</definedName>
    <definedName name="dba_useoffunds">'Use of Funds'!$A$16:$A$17</definedName>
    <definedName name="depreciation">'P&amp;L'!$A$42:$AQ$42</definedName>
    <definedName name="depreciation_actual">'P&amp;L'!$CR$42:$DI$42</definedName>
    <definedName name="depreciation_variance">'P&amp;L'!$DK$42:$EB$42</definedName>
    <definedName name="direct_cost_of_sales">'P&amp;L'!$A$6:$AJ$6</definedName>
    <definedName name="dividend_payout">Ratios!$O$56:$AH$56</definedName>
    <definedName name="dividends" localSheetId="15">DCF!#REF!</definedName>
    <definedName name="dividends" localSheetId="16">'Hi-Vol Surgeons'!#REF!</definedName>
    <definedName name="dividends" localSheetId="1">'Cash Flow'!#REF!</definedName>
    <definedName name="dividends">'Cash Flow'!#REF!</definedName>
    <definedName name="earnings" localSheetId="15">Balance!#REF!</definedName>
    <definedName name="earnings" localSheetId="16">Balance!#REF!</definedName>
    <definedName name="earnings" localSheetId="1">Balance!#REF!</definedName>
    <definedName name="earnings">Balance!#REF!</definedName>
    <definedName name="ending_inventory_balance">#REF!</definedName>
    <definedName name="ending_payables_balance">#REF!</definedName>
    <definedName name="ending_receivables_balance">#REF!</definedName>
    <definedName name="estimated_collection_period_in_days">#REF!</definedName>
    <definedName name="estimated_monthly_fixed_cost">'Break-even'!$O$10</definedName>
    <definedName name="estimated_monthly_fixed_cost_calculated">'Break-even'!$O$18</definedName>
    <definedName name="estimated_receivables_balance">#REF!</definedName>
    <definedName name="evaluatethis" localSheetId="15">#REF!</definedName>
    <definedName name="evaluatethis" localSheetId="16">#REF!</definedName>
    <definedName name="evaluatethis" localSheetId="1">#REF!</definedName>
    <definedName name="evaluatethis" localSheetId="0">#REF!</definedName>
    <definedName name="evaluatethis">#REF!</definedName>
    <definedName name="fr_assumptions">Calculations!$BB$156:$CG$156</definedName>
    <definedName name="fr_breakevenanalysis">'Break-even'!$P$7:$P$10</definedName>
    <definedName name="fr_cashflow" localSheetId="15">DCF!#REF!</definedName>
    <definedName name="fr_cashflow" localSheetId="16">'Hi-Vol Surgeons'!#REF!</definedName>
    <definedName name="fr_cashflow" localSheetId="1">'Cash Flow'!#REF!</definedName>
    <definedName name="fr_cashflow">'Cash Flow'!#REF!</definedName>
    <definedName name="fr_cashflow2" localSheetId="15">DCF!#REF!</definedName>
    <definedName name="fr_cashflow2" localSheetId="16">'Hi-Vol Surgeons'!#REF!</definedName>
    <definedName name="fr_cashflow2" localSheetId="1">'Cash Flow'!#REF!</definedName>
    <definedName name="fr_cashflow2">'Cash Flow'!#REF!</definedName>
    <definedName name="fr_financials">Financials!$AS$4:$AU$4</definedName>
    <definedName name="fr_inventorydetail1">#REF!</definedName>
    <definedName name="fr_inventorydetail2">#REF!</definedName>
    <definedName name="fr_investmentanalysis">#REF!</definedName>
    <definedName name="fr_investmentoffering">#REF!</definedName>
    <definedName name="fr_marketanalysis">Market!$D$9:$G$9</definedName>
    <definedName name="fr_pastperformance">Past!$AD$8:$AF$8</definedName>
    <definedName name="fr_paymentdetail1">#REF!</definedName>
    <definedName name="fr_paymentdetail2">#REF!</definedName>
    <definedName name="fr_payrolltaxes">'P&amp;L'!$BE$30:$CK$30</definedName>
    <definedName name="fr_ratios">Ratios!$BC$20:$BU$21</definedName>
    <definedName name="fr_receivables1">#REF!</definedName>
    <definedName name="fr_receivables2">#REF!</definedName>
    <definedName name="fr_salesforecast_unitprices" localSheetId="15">'Sales and COGS Forecasts'!#REF!</definedName>
    <definedName name="fr_salesforecast_unitprices" localSheetId="16">'Sales and COGS Forecasts'!#REF!</definedName>
    <definedName name="fr_salesforecast_unitprices" localSheetId="1">'Sales and COGS Forecasts (OLD)'!#REF!</definedName>
    <definedName name="fr_salesforecast_unitprices" localSheetId="0">'Sales Forecast (old)'!$AR$24:$BX$26</definedName>
    <definedName name="fr_salesforecast_unitprices">'Sales and COGS Forecasts'!#REF!</definedName>
    <definedName name="fr_salesforecast_units" localSheetId="15">'Sales and COGS Forecasts'!#REF!</definedName>
    <definedName name="fr_salesforecast_units" localSheetId="16">'Sales and COGS Forecasts'!#REF!</definedName>
    <definedName name="fr_salesforecast_units" localSheetId="1">'Sales and COGS Forecasts (OLD)'!#REF!</definedName>
    <definedName name="fr_salesforecast_units" localSheetId="0">'Sales Forecast (old)'!$AR$35:$BX$37</definedName>
    <definedName name="fr_salesforecast_units">'Sales and COGS Forecasts'!#REF!</definedName>
    <definedName name="general_and_administrative_payroll">'P&amp;L'!$A$20:$AJ$20</definedName>
    <definedName name="general_and_administrative_percent">'P&amp;L'!$A$37:$AJ$37</definedName>
    <definedName name="gross_margin">'P&amp;L'!$A$12:$AJ$12</definedName>
    <definedName name="gross_margin_actual">'P&amp;L'!$CR$12:$DI$12</definedName>
    <definedName name="gross_margin_percent">'P&amp;L'!$A$13:$AJ$13</definedName>
    <definedName name="gross_margin_variance">'P&amp;L'!$DK$12:$EB$12</definedName>
    <definedName name="include_negative_taxes" localSheetId="15">'P&amp;L'!#REF!</definedName>
    <definedName name="include_negative_taxes" localSheetId="16">'P&amp;L'!#REF!</definedName>
    <definedName name="include_negative_taxes" localSheetId="1">'P&amp;L'!#REF!</definedName>
    <definedName name="include_negative_taxes">'P&amp;L'!#REF!</definedName>
    <definedName name="include_negative_taxes_2nd_year" localSheetId="15">'P&amp;L'!#REF!</definedName>
    <definedName name="include_negative_taxes_2nd_year" localSheetId="16">'P&amp;L'!#REF!</definedName>
    <definedName name="include_negative_taxes_2nd_year" localSheetId="1">'P&amp;L'!#REF!</definedName>
    <definedName name="include_negative_taxes_2nd_year">'P&amp;L'!#REF!</definedName>
    <definedName name="include_negative_taxes_first_year" localSheetId="15">'P&amp;L'!#REF!</definedName>
    <definedName name="include_negative_taxes_first_year" localSheetId="16">'P&amp;L'!#REF!</definedName>
    <definedName name="include_negative_taxes_first_year" localSheetId="1">'P&amp;L'!#REF!</definedName>
    <definedName name="include_negative_taxes_first_year">'P&amp;L'!#REF!</definedName>
    <definedName name="IndustryRatios">Ratios!$O$3:$O$29</definedName>
    <definedName name="IndustryRatios_Year1">Ratios!$O$3:$O$29</definedName>
    <definedName name="IndustryRatios_Year2">Ratios!$AD$3:$AD$29</definedName>
    <definedName name="IndustryRatios_Year2Detail">Ratios!$AC$3:$AC$29</definedName>
    <definedName name="IndustryRatios_Year3">Ratios!$AE$3:$AE$29</definedName>
    <definedName name="IndustryRatios_Year4">Ratios!$AF$3:$AF$29</definedName>
    <definedName name="IndustryRatios_Year5">Ratios!$AG$3:$AG$29</definedName>
    <definedName name="insertgroup_a" localSheetId="1">'Sales and COGS Forecasts (OLD)'!$B$468:$B$469</definedName>
    <definedName name="insertgroup_a" localSheetId="0">'Sales Forecast (old)'!$B$47:$B$48</definedName>
    <definedName name="insertgroup_a">'Sales and COGS Forecasts'!$G$468:$G$469</definedName>
    <definedName name="insertgroup_b" localSheetId="1">'Sales and COGS Forecasts (OLD)'!$D$468:$D$472</definedName>
    <definedName name="insertgroup_b" localSheetId="0">'Sales Forecast (old)'!$D$47:$D$51</definedName>
    <definedName name="insertgroup_b">'Sales and COGS Forecasts'!$I$468:$I$472</definedName>
    <definedName name="interest_expense">'P&amp;L'!$A$46:$AJ$46</definedName>
    <definedName name="interest_expense_actual">'P&amp;L'!$CR$46:$DI$46</definedName>
    <definedName name="interest_expense_variance">'P&amp;L'!$DK$46:$EB$46</definedName>
    <definedName name="inventory">Balance!$A$8:$AJ$8</definedName>
    <definedName name="inventory_purchase">#REF!</definedName>
    <definedName name="inventory_purchased_this_period">#REF!</definedName>
    <definedName name="inventory_turnover">Ratios!$O$38:$AH$38</definedName>
    <definedName name="inventory_used_this_period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"019802400"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"09/20/2012 09:55:01"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_Accounting">#REF!</definedName>
    <definedName name="IS_Accrual">#REF!</definedName>
    <definedName name="IS_AdministrativeLabel">#REF!</definedName>
    <definedName name="IS_AnnualDetail">#REF!</definedName>
    <definedName name="IS_currencysymbol" localSheetId="15">#REF!</definedName>
    <definedName name="IS_currencysymbol" localSheetId="16">#REF!</definedName>
    <definedName name="IS_currencysymbol" localSheetId="1">#REF!</definedName>
    <definedName name="IS_currencysymbol" localSheetId="0">#REF!</definedName>
    <definedName name="IS_currencysymbol">#REF!</definedName>
    <definedName name="IS_Date">#REF!</definedName>
    <definedName name="IS_ExpenseCategories">#REF!</definedName>
    <definedName name="IS_Inventory">#REF!</definedName>
    <definedName name="IS_Manufacture" localSheetId="15">#REF!</definedName>
    <definedName name="IS_Manufacture" localSheetId="16">#REF!</definedName>
    <definedName name="IS_Manufacture" localSheetId="1">#REF!</definedName>
    <definedName name="IS_Manufacture" localSheetId="0">#REF!</definedName>
    <definedName name="IS_Manufacture">#REF!</definedName>
    <definedName name="IS_NetOtherIncome">#REF!</definedName>
    <definedName name="IS_NonProfit">#REF!</definedName>
    <definedName name="IS_OtherLabel">#REF!</definedName>
    <definedName name="IS_PersonnelbyPeople">#REF!</definedName>
    <definedName name="IS_PlanTitle">#REF!</definedName>
    <definedName name="IS_Premier">#REF!</definedName>
    <definedName name="IS_ProductionLabel">#REF!</definedName>
    <definedName name="IS_Products">#REF!</definedName>
    <definedName name="IS_ProductServices">#REF!</definedName>
    <definedName name="IS_Quarters" localSheetId="15">#REF!</definedName>
    <definedName name="IS_Quarters" localSheetId="16">#REF!</definedName>
    <definedName name="IS_Quarters" localSheetId="1">#REF!</definedName>
    <definedName name="IS_Quarters" localSheetId="0">#REF!</definedName>
    <definedName name="IS_Quarters">#REF!</definedName>
    <definedName name="IS_QuickBooks">#REF!</definedName>
    <definedName name="IS_RatiosImport" localSheetId="15">#REF!</definedName>
    <definedName name="IS_RatiosImport" localSheetId="16">#REF!</definedName>
    <definedName name="IS_RatiosImport" localSheetId="1">#REF!</definedName>
    <definedName name="IS_RatiosImport" localSheetId="0">#REF!</definedName>
    <definedName name="IS_RatiosImport">#REF!</definedName>
    <definedName name="IS_Receivables">#REF!</definedName>
    <definedName name="IS_Retail" localSheetId="15">#REF!</definedName>
    <definedName name="IS_Retail" localSheetId="16">#REF!</definedName>
    <definedName name="IS_Retail" localSheetId="1">#REF!</definedName>
    <definedName name="IS_Retail" localSheetId="0">#REF!</definedName>
    <definedName name="IS_Retail">#REF!</definedName>
    <definedName name="IS_SalesByUnits">#REF!</definedName>
    <definedName name="IS_SalesMarketingLabel">#REF!</definedName>
    <definedName name="IS_Services" localSheetId="15">#REF!</definedName>
    <definedName name="IS_Services" localSheetId="16">#REF!</definedName>
    <definedName name="IS_Services" localSheetId="1">#REF!</definedName>
    <definedName name="IS_Services" localSheetId="0">#REF!</definedName>
    <definedName name="IS_Services">#REF!</definedName>
    <definedName name="IS_StandardTerm">#REF!</definedName>
    <definedName name="IS_StartingMonth">#REF!</definedName>
    <definedName name="IS_StartingYear">#REF!</definedName>
    <definedName name="IS_Startup">#REF!</definedName>
    <definedName name="less_bill_payments">#REF!</definedName>
    <definedName name="less_cash_spending">#REF!</definedName>
    <definedName name="long_term_assets">Balance!$A$12:$AJ$12</definedName>
    <definedName name="long_term_interest_rate">Calculations!$A$143:$AG$143</definedName>
    <definedName name="long_term_liabilities">Balance!$A$23:$AJ$23</definedName>
    <definedName name="long_term_liabilities_principal_repayment" localSheetId="15">DCF!#REF!</definedName>
    <definedName name="long_term_liabilities_principal_repayment" localSheetId="16">'Hi-Vol Surgeons'!#REF!</definedName>
    <definedName name="long_term_liabilities_principal_repayment" localSheetId="1">'Cash Flow'!#REF!</definedName>
    <definedName name="long_term_liabilities_principal_repayment">'Cash Flow'!#REF!</definedName>
    <definedName name="minimim_inventory_purchase">#REF!</definedName>
    <definedName name="monthly_sales_breakeven">'Break-even'!$O$4</definedName>
    <definedName name="monthly_units_breakeven">'Break-even'!$O$3</definedName>
    <definedName name="months_of_inventory_on_hand">#REF!</definedName>
    <definedName name="net_cash_flow" localSheetId="15">DCF!#REF!</definedName>
    <definedName name="net_cash_flow" localSheetId="16">'Hi-Vol Surgeons'!#REF!</definedName>
    <definedName name="net_cash_flow" localSheetId="1">'Cash Flow'!#REF!</definedName>
    <definedName name="net_cash_flow">'Cash Flow'!#REF!</definedName>
    <definedName name="net_other_income" localSheetId="15">'P&amp;L'!#REF!</definedName>
    <definedName name="net_other_income" localSheetId="16">'P&amp;L'!#REF!</definedName>
    <definedName name="net_other_income" localSheetId="1">'P&amp;L'!#REF!</definedName>
    <definedName name="net_other_income">'P&amp;L'!#REF!</definedName>
    <definedName name="net_other_income_actual" localSheetId="15">'P&amp;L'!#REF!</definedName>
    <definedName name="net_other_income_actual" localSheetId="16">'P&amp;L'!#REF!</definedName>
    <definedName name="net_other_income_actual" localSheetId="1">'P&amp;L'!#REF!</definedName>
    <definedName name="net_other_income_actual">'P&amp;L'!#REF!</definedName>
    <definedName name="net_other_income_variance" localSheetId="15">'P&amp;L'!#REF!</definedName>
    <definedName name="net_other_income_variance" localSheetId="16">'P&amp;L'!#REF!</definedName>
    <definedName name="net_other_income_variance" localSheetId="1">'P&amp;L'!#REF!</definedName>
    <definedName name="net_other_income_variance">'P&amp;L'!#REF!</definedName>
    <definedName name="net_profit">'P&amp;L'!$A$49:$AJ$49</definedName>
    <definedName name="net_profit_actual">'P&amp;L'!$CR$49:$DI$49</definedName>
    <definedName name="net_profit_margin">Ratios!$O$32:$AH$32</definedName>
    <definedName name="net_profit_variance">'P&amp;L'!$DK$49:$EB$49</definedName>
    <definedName name="net_worth" localSheetId="15">Balance!#REF!</definedName>
    <definedName name="net_worth" localSheetId="16">Balance!#REF!</definedName>
    <definedName name="net_worth" localSheetId="1">Balance!#REF!</definedName>
    <definedName name="net_worth">Balance!#REF!</definedName>
    <definedName name="new_accounts_payable">#REF!</definedName>
    <definedName name="new_current_borrowing" localSheetId="15">DCF!#REF!</definedName>
    <definedName name="new_current_borrowing" localSheetId="16">'Hi-Vol Surgeons'!#REF!</definedName>
    <definedName name="new_current_borrowing" localSheetId="1">'Cash Flow'!#REF!</definedName>
    <definedName name="new_current_borrowing">'Cash Flow'!#REF!</definedName>
    <definedName name="new_investment_received" localSheetId="15">DCF!#REF!</definedName>
    <definedName name="new_investment_received" localSheetId="16">'Hi-Vol Surgeons'!#REF!</definedName>
    <definedName name="new_investment_received" localSheetId="1">'Cash Flow'!#REF!</definedName>
    <definedName name="new_investment_received">'Cash Flow'!#REF!</definedName>
    <definedName name="new_long_term_liabilities" localSheetId="15">DCF!#REF!</definedName>
    <definedName name="new_long_term_liabilities" localSheetId="16">'Hi-Vol Surgeons'!#REF!</definedName>
    <definedName name="new_long_term_liabilities" localSheetId="1">'Cash Flow'!#REF!</definedName>
    <definedName name="new_long_term_liabilities">'Cash Flow'!#REF!</definedName>
    <definedName name="new_other_liabilities_interest_free" localSheetId="15">DCF!#REF!</definedName>
    <definedName name="new_other_liabilities_interest_free" localSheetId="16">'Hi-Vol Surgeons'!#REF!</definedName>
    <definedName name="new_other_liabilities_interest_free" localSheetId="1">'Cash Flow'!#REF!</definedName>
    <definedName name="new_other_liabilities_interest_free">'Cash Flow'!#REF!</definedName>
    <definedName name="new_payment_obligations_this_period">#REF!</definedName>
    <definedName name="other_current_liabilities" localSheetId="15">Balance!#REF!</definedName>
    <definedName name="other_current_liabilities" localSheetId="16">Balance!#REF!</definedName>
    <definedName name="other_current_liabilities" localSheetId="1">Balance!#REF!</definedName>
    <definedName name="other_current_liabilities">Balance!#REF!</definedName>
    <definedName name="other_liabilities_principal_repayment" localSheetId="15">DCF!#REF!</definedName>
    <definedName name="other_liabilities_principal_repayment" localSheetId="16">'Hi-Vol Surgeons'!#REF!</definedName>
    <definedName name="other_liabilities_principal_repayment" localSheetId="1">'Cash Flow'!#REF!</definedName>
    <definedName name="other_liabilities_principal_repayment">'Cash Flow'!#REF!</definedName>
    <definedName name="paid_in_capital">Balance!$A$26:$AJ$26</definedName>
    <definedName name="past_capital_assets">Past!$D$21</definedName>
    <definedName name="past_performance_accounts_payable">Past!$D$28</definedName>
    <definedName name="past_performance_accounts_receivable">Past!$D$15</definedName>
    <definedName name="past_performance_accumulated_depreciation">Past!$D$22</definedName>
    <definedName name="past_performance_cash">Past!$D$14</definedName>
    <definedName name="past_performance_collection_days">Past!$D$7</definedName>
    <definedName name="past_performance_current_borrowing">Past!$D$29</definedName>
    <definedName name="past_performance_earnings">Past!$D$38</definedName>
    <definedName name="past_performance_gross_margin">Past!$D$4</definedName>
    <definedName name="past_performance_gross_margin_percent">Past!$D$5</definedName>
    <definedName name="past_performance_inventory">Past!$D$16</definedName>
    <definedName name="past_performance_inventory_turnover">Past!$D$8</definedName>
    <definedName name="past_performance_long_term_liabilities">Past!$D$33</definedName>
    <definedName name="past_performance_operating_expenses">Past!$D$6</definedName>
    <definedName name="past_performance_other_current_assets">Past!$D$17</definedName>
    <definedName name="past_performance_other_current_liabilities">Past!$D$30</definedName>
    <definedName name="past_performance_paid_in_capital">Past!$D$36</definedName>
    <definedName name="past_performance_payment_days">Past!$D$44</definedName>
    <definedName name="past_performance_sales">Past!$D$3</definedName>
    <definedName name="payback_hlookup">#REF!</definedName>
    <definedName name="payment_days_estimator">#REF!</definedName>
    <definedName name="payment_delay_in_days">#REF!</definedName>
    <definedName name="payroll">Personnel!$C$72:$AN$72</definedName>
    <definedName name="payroll_expense" localSheetId="15">Calculations!#REF!</definedName>
    <definedName name="payroll_expense" localSheetId="16">Calculations!#REF!</definedName>
    <definedName name="payroll_expense" localSheetId="1">Calculations!#REF!</definedName>
    <definedName name="payroll_expense">Calculations!#REF!</definedName>
    <definedName name="payroll_taxes">'P&amp;L'!$A$30:$AJ$30</definedName>
    <definedName name="Payroll1">Personnel!$C$3:$AN$3</definedName>
    <definedName name="Payroll2">Personnel!$C$12:$AN$12</definedName>
    <definedName name="Payroll3">Personnel!$A$42:$AN$42</definedName>
    <definedName name="Payroll3GA">Personnel!$C$32:$AN$32</definedName>
    <definedName name="Payroll3OTH">Personnel!$C$38:$AN$38</definedName>
    <definedName name="Payroll3P">Personnel!$C$20:$AN$20</definedName>
    <definedName name="Payroll3SM">Personnel!$C$26:$AN$26</definedName>
    <definedName name="Payroll4">Personnel!$A$68:$AN$68</definedName>
    <definedName name="Payroll4GA">Personnel!$C$59:$AN$59</definedName>
    <definedName name="Payroll4OTH">Personnel!$C$64:$AN$64</definedName>
    <definedName name="Payroll4P">Personnel!$C$49:$AN$49</definedName>
    <definedName name="Payroll4SM">Personnel!$C$54:$AN$54</definedName>
    <definedName name="percent_equity_acquired">#REF!</definedName>
    <definedName name="plan_month">Calculations!$A$3:$BT$3</definedName>
    <definedName name="plus_new_payment_obligations">#REF!</definedName>
    <definedName name="pr_additionalcashraised">Funding!$F$9</definedName>
    <definedName name="pr_average_variable_cost">'Break-even'!$Q$19</definedName>
    <definedName name="pr_borrowingtoassets">#REF!</definedName>
    <definedName name="pr_breakevenanalysis_01">'Break-even'!$Q$14</definedName>
    <definedName name="pr_breakevenanalysis_02">'Break-even'!$Q$15</definedName>
    <definedName name="pr_calculated_averageperunitrevenue">'Break-even'!$Q$16</definedName>
    <definedName name="pr_calculated_averageperunitvariablecost">'Break-even'!$Q$17</definedName>
    <definedName name="pr_calculated_averagepperunitrevenue">'Break-even'!$Q$16</definedName>
    <definedName name="pr_calculated_estimatedfixedcost">'Break-even'!$Q$18</definedName>
    <definedName name="pr_calculatedinventory">Balance!$H$8</definedName>
    <definedName name="pr_cash_balance" localSheetId="15">DCF!#REF!</definedName>
    <definedName name="pr_cash_balance" localSheetId="16">'Hi-Vol Surgeons'!#REF!</definedName>
    <definedName name="pr_cash_balance">'Cash Flow'!$H$40</definedName>
    <definedName name="pr_cash_balance_financials">Financials!$B$87</definedName>
    <definedName name="pr_collectiondayscheck">#REF!</definedName>
    <definedName name="pr_costofsales">'P&amp;L'!$H$73</definedName>
    <definedName name="pr_costofsales_financials">Financials!$B$93</definedName>
    <definedName name="pr_date" localSheetId="15">DCF!$C$2:$G$2</definedName>
    <definedName name="pr_date" localSheetId="16">'Hi-Vol Surgeons'!$C$2:$G$2</definedName>
    <definedName name="pr_date">'Cash Flow'!$H$2:$AJ$2</definedName>
    <definedName name="pr_investmentrequired">Funding!$F$28</definedName>
    <definedName name="pr_longtermliabilities">Balance!$H$78</definedName>
    <definedName name="pr_negativeap">Balance!$H$66</definedName>
    <definedName name="pr_negativear">Balance!$H$63</definedName>
    <definedName name="pr_negativecurrentborrowing">Balance!$H$72</definedName>
    <definedName name="pr_negativeinventory">Balance!$H$69</definedName>
    <definedName name="pr_negativeothercurrentborrowing">Balance!$H$75</definedName>
    <definedName name="pr_netprofit">'P&amp;L'!$H$76</definedName>
    <definedName name="pr_netprofit_financials">Financials!$B$96</definedName>
    <definedName name="pr_nochangecurrentborrowing">Balance!$K$72</definedName>
    <definedName name="pr_nochangelongtermliabilities">Balance!$K$78</definedName>
    <definedName name="pr_past">Past!$G$40</definedName>
    <definedName name="pr_paymentdayscheck">#REF!</definedName>
    <definedName name="pr_payroll">Personnel!$C$75</definedName>
    <definedName name="pr_payroll_operating_expenses_result">'P&amp;L'!$H$87</definedName>
    <definedName name="pr_sales">'P&amp;L'!$H$70</definedName>
    <definedName name="pr_sales_financials">Financials!$B$90</definedName>
    <definedName name="pr_salesgrowth">Ratios!$C$70</definedName>
    <definedName name="pr_salesgrowth_financials">Financials!$B$100</definedName>
    <definedName name="pr_startinginventory">Balance!$B$8</definedName>
    <definedName name="pr_startup">#REF!</definedName>
    <definedName name="pr_totallongtermassets">Balance!$H$81</definedName>
    <definedName name="principal_repayment_of_current_borrowing" localSheetId="15">DCF!#REF!</definedName>
    <definedName name="principal_repayment_of_current_borrowing" localSheetId="16">'Hi-Vol Surgeons'!#REF!</definedName>
    <definedName name="principal_repayment_of_current_borrowing" localSheetId="1">'Cash Flow'!#REF!</definedName>
    <definedName name="principal_repayment_of_current_borrowing">'Cash Flow'!#REF!</definedName>
    <definedName name="_xlnm.Print_Area" localSheetId="13">'Cash Flow'!$A$1:$AO$33</definedName>
    <definedName name="_xlnm.Print_Area" localSheetId="8">'Graph Rev EBITDA'!$A$1:$J$33</definedName>
    <definedName name="_xlnm.Print_Titles" localSheetId="12">Balance!$A:$A,Balance!$1:$2</definedName>
    <definedName name="_xlnm.Print_Titles" localSheetId="13">'Cash Flow'!$A:$A</definedName>
    <definedName name="_xlnm.Print_Titles" localSheetId="9">'P&amp;L'!$A:$A,'P&amp;L'!$1:$2</definedName>
    <definedName name="_xlnm.Print_Titles" localSheetId="2">'Sales and COGS Forecasts'!$A:$A,'Sales and COGS Forecasts'!$1:$2</definedName>
    <definedName name="production_payroll">'P&amp;L'!$7:$7</definedName>
    <definedName name="profit_before_int_and_taxes">'P&amp;L'!$A$45:$AJ$45</definedName>
    <definedName name="profit_before_interest_and_taxes">'P&amp;L'!$A$45:$AJ$45</definedName>
    <definedName name="profit_before_interest_and_taxes_actual">'P&amp;L'!$CR$45:$DI$45</definedName>
    <definedName name="profit_before_interest_and_taxes_variance">'P&amp;L'!$DK$45:$EB$45</definedName>
    <definedName name="PS_Accounting">#REF!</definedName>
    <definedName name="PS_Accrual">#REF!</definedName>
    <definedName name="PS_AdministrativeLabel">#REF!</definedName>
    <definedName name="PS_AnnualDetail">#REF!</definedName>
    <definedName name="PS_AnnualDetail_2">#REF!</definedName>
    <definedName name="PS_CellFormat">#REF!</definedName>
    <definedName name="PS_CollectionDays">#REF!</definedName>
    <definedName name="PS_CurrencySymbol" localSheetId="15">#REF!</definedName>
    <definedName name="PS_CurrencySymbol" localSheetId="16">#REF!</definedName>
    <definedName name="PS_CurrencySymbol" localSheetId="1">#REF!</definedName>
    <definedName name="PS_CurrencySymbol" localSheetId="0">#REF!</definedName>
    <definedName name="PS_CurrencySymbol">#REF!</definedName>
    <definedName name="PS_Date">#REF!</definedName>
    <definedName name="PS_DateSetting">#REF!</definedName>
    <definedName name="PS_ExpenseCategories">#REF!</definedName>
    <definedName name="PS_Inventory">#REF!</definedName>
    <definedName name="PS_InventoryOnhand">#REF!</definedName>
    <definedName name="PS_InventoryPurchase">#REF!</definedName>
    <definedName name="PS_Manufacture" localSheetId="15">#REF!</definedName>
    <definedName name="PS_Manufacture" localSheetId="16">#REF!</definedName>
    <definedName name="PS_Manufacture" localSheetId="1">#REF!</definedName>
    <definedName name="PS_Manufacture" localSheetId="0">#REF!</definedName>
    <definedName name="PS_Manufacture">#REF!</definedName>
    <definedName name="PS_NetOtherIncome">#REF!</definedName>
    <definedName name="PS_Nonprofit">#REF!</definedName>
    <definedName name="PS_OtherLabel">#REF!</definedName>
    <definedName name="PS_PaymentDays">#REF!</definedName>
    <definedName name="PS_PaymentDelay">#REF!</definedName>
    <definedName name="PS_PersonnelbyPeople">#REF!</definedName>
    <definedName name="PS_PlanTitle">#REF!</definedName>
    <definedName name="PS_Premier">#REF!</definedName>
    <definedName name="PS_ProductionLabel">#REF!</definedName>
    <definedName name="PS_Products">#REF!</definedName>
    <definedName name="PS_ProductServices">#REF!</definedName>
    <definedName name="PS_Quarters" localSheetId="15">#REF!</definedName>
    <definedName name="PS_Quarters" localSheetId="16">#REF!</definedName>
    <definedName name="PS_Quarters" localSheetId="1">#REF!</definedName>
    <definedName name="PS_Quarters" localSheetId="0">#REF!</definedName>
    <definedName name="PS_Quarters">#REF!</definedName>
    <definedName name="PS_QuickBooks">#REF!</definedName>
    <definedName name="PS_RatiosImport" localSheetId="15">#REF!</definedName>
    <definedName name="PS_RatiosImport" localSheetId="16">#REF!</definedName>
    <definedName name="PS_RatiosImport" localSheetId="1">#REF!</definedName>
    <definedName name="PS_RatiosImport" localSheetId="0">#REF!</definedName>
    <definedName name="PS_RatiosImport">#REF!</definedName>
    <definedName name="PS_Receivables">#REF!</definedName>
    <definedName name="PS_Retail" localSheetId="15">#REF!</definedName>
    <definedName name="PS_Retail" localSheetId="16">#REF!</definedName>
    <definedName name="PS_Retail" localSheetId="1">#REF!</definedName>
    <definedName name="PS_Retail" localSheetId="0">#REF!</definedName>
    <definedName name="PS_Retail">#REF!</definedName>
    <definedName name="PS_SalesByUnits">#REF!</definedName>
    <definedName name="PS_SalesMarketingLabel">#REF!</definedName>
    <definedName name="PS_SalesOnCreditPercent">#REF!</definedName>
    <definedName name="PS_Services" localSheetId="15">#REF!</definedName>
    <definedName name="PS_Services" localSheetId="16">#REF!</definedName>
    <definedName name="PS_Services" localSheetId="1">#REF!</definedName>
    <definedName name="PS_Services" localSheetId="0">#REF!</definedName>
    <definedName name="PS_Services">#REF!</definedName>
    <definedName name="PS_StandardTerm">#REF!</definedName>
    <definedName name="PS_StartingMonth">#REF!</definedName>
    <definedName name="PS_StartingYear">#REF!</definedName>
    <definedName name="PS_Startup">#REF!</definedName>
    <definedName name="public_names">#REF!</definedName>
    <definedName name="publishhideranges_gacalculatedtotals">Calculations!$157:$157</definedName>
    <definedName name="publishhideranges_inventorydetail">#REF!</definedName>
    <definedName name="publishhideranges_investmentoffering">#REF!</definedName>
    <definedName name="publishhideranges_payablesdetail">#REF!</definedName>
    <definedName name="publishhideranges_receivablesdetail">#REF!</definedName>
    <definedName name="publishhideranges_taxtoggle" localSheetId="15">'P&amp;L'!#REF!</definedName>
    <definedName name="publishhideranges_taxtoggle" localSheetId="16">'P&amp;L'!#REF!</definedName>
    <definedName name="publishhideranges_taxtoggle" localSheetId="1">'P&amp;L'!#REF!</definedName>
    <definedName name="publishhideranges_taxtoggle">'P&amp;L'!#REF!</definedName>
    <definedName name="purchase_long_term_assets" localSheetId="15">DCF!#REF!</definedName>
    <definedName name="purchase_long_term_assets" localSheetId="16">'Hi-Vol Surgeons'!#REF!</definedName>
    <definedName name="purchase_long_term_assets" localSheetId="1">'Cash Flow'!#REF!</definedName>
    <definedName name="purchase_long_term_assets">'Cash Flow'!#REF!</definedName>
    <definedName name="purchase_other_current_assets" localSheetId="15">DCF!#REF!</definedName>
    <definedName name="purchase_other_current_assets" localSheetId="16">'Hi-Vol Surgeons'!#REF!</definedName>
    <definedName name="purchase_other_current_assets" localSheetId="1">'Cash Flow'!#REF!</definedName>
    <definedName name="purchase_other_current_assets">'Cash Flow'!#REF!</definedName>
    <definedName name="RD_CollectionDays">#REF!</definedName>
    <definedName name="release">#REF!</definedName>
    <definedName name="retained_earnings">Balance!$A$27:$AJ$27</definedName>
    <definedName name="review_grossmargin">Ratios!$AH$19</definedName>
    <definedName name="review_netprofit">Ratios!$AH$22</definedName>
    <definedName name="review_salesgrowth">Ratios!$AH$3</definedName>
    <definedName name="rounder">'Break-even'!$R$36</definedName>
    <definedName name="rounder2">'Break-even'!$T$36</definedName>
    <definedName name="rowhide_assumptionsother" localSheetId="15">Calculations!#REF!</definedName>
    <definedName name="rowhide_assumptionsother" localSheetId="16">Calculations!#REF!</definedName>
    <definedName name="rowhide_assumptionsother" localSheetId="1">Calculations!#REF!</definedName>
    <definedName name="rowhide_assumptionsother">Calculations!#REF!</definedName>
    <definedName name="rowhide_baap">Balance!$19:$19</definedName>
    <definedName name="rowhide_baar">Balance!$7:$7</definedName>
    <definedName name="rowhide_balinventory">Balance!$8:$8</definedName>
    <definedName name="rowhide_breakeven_units1">'Break-even'!$3:$3</definedName>
    <definedName name="rowhide_breakeven_units2">'Break-even'!$7:$8</definedName>
    <definedName name="rowhide_breakeven_units3">'Break-even'!$9:$9</definedName>
    <definedName name="rowhide_cf_billpayments" localSheetId="15">DCF!#REF!</definedName>
    <definedName name="rowhide_cf_billpayments" localSheetId="16">'Hi-Vol Surgeons'!#REF!</definedName>
    <definedName name="rowhide_cf_billpayments" localSheetId="1">'Cash Flow'!#REF!</definedName>
    <definedName name="rowhide_cf_billpayments">'Cash Flow'!#REF!</definedName>
    <definedName name="rowhide_cf_cashfromreceivables" localSheetId="15">DCF!#REF!</definedName>
    <definedName name="rowhide_cf_cashfromreceivables" localSheetId="16">'Hi-Vol Surgeons'!#REF!</definedName>
    <definedName name="rowhide_cf_cashfromreceivables" localSheetId="1">'Cash Flow'!#REF!</definedName>
    <definedName name="rowhide_cf_cashfromreceivables">'Cash Flow'!#REF!</definedName>
    <definedName name="rowhide_expensecategories1">'P&amp;L'!$7:$7</definedName>
    <definedName name="rowhide_expensecategories2">'P&amp;L'!$6:$9</definedName>
    <definedName name="rowhide_expensecategories3" localSheetId="15">'P&amp;L'!#REF!</definedName>
    <definedName name="rowhide_expensecategories3" localSheetId="16">'P&amp;L'!#REF!</definedName>
    <definedName name="rowhide_expensecategories3" localSheetId="1">'P&amp;L'!#REF!</definedName>
    <definedName name="rowhide_expensecategories3" localSheetId="0">'P&amp;L'!#REF!</definedName>
    <definedName name="rowhide_expensecategories3">'P&amp;L'!#REF!</definedName>
    <definedName name="rowhide_expensecategories4">'P&amp;L'!$36:$38</definedName>
    <definedName name="rowhide_expensecategories5">'P&amp;L'!$46:$47</definedName>
    <definedName name="rowhide_expensecategories6" localSheetId="15">'P&amp;L'!#REF!</definedName>
    <definedName name="rowhide_expensecategories6" localSheetId="16">'P&amp;L'!#REF!</definedName>
    <definedName name="rowhide_expensecategories6" localSheetId="1">'P&amp;L'!#REF!</definedName>
    <definedName name="rowhide_expensecategories6">'P&amp;L'!#REF!</definedName>
    <definedName name="rowhide_expensecategories7" localSheetId="15">'P&amp;L'!#REF!</definedName>
    <definedName name="rowhide_expensecategories7" localSheetId="16">'P&amp;L'!#REF!</definedName>
    <definedName name="rowhide_expensecategories7" localSheetId="1">'P&amp;L'!#REF!</definedName>
    <definedName name="rowhide_expensecategories7">'P&amp;L'!#REF!</definedName>
    <definedName name="rowhide_expensecategories8">'P&amp;L'!$9:$9</definedName>
    <definedName name="rowhide_financials1">Financials!$10:$10</definedName>
    <definedName name="rowhide_financials2">Financials!$18:$18</definedName>
    <definedName name="rowhide_financials3">Financials!$25:$25</definedName>
    <definedName name="rowhide_financials4">Financials!$32:$32</definedName>
    <definedName name="rowhide_funding_accountspayable">Funding!$19:$19</definedName>
    <definedName name="rowhide_non_operating_other_expense" localSheetId="15">DCF!#REF!</definedName>
    <definedName name="rowhide_non_operating_other_expense" localSheetId="16">'Hi-Vol Surgeons'!#REF!</definedName>
    <definedName name="rowhide_non_operating_other_expense" localSheetId="1">'Cash Flow'!#REF!</definedName>
    <definedName name="rowhide_non_operating_other_expense">'Cash Flow'!#REF!</definedName>
    <definedName name="rowhide_non_operating_other_income" localSheetId="15">DCF!#REF!</definedName>
    <definedName name="rowhide_non_operating_other_income" localSheetId="16">'Hi-Vol Surgeons'!#REF!</definedName>
    <definedName name="rowhide_non_operating_other_income" localSheetId="1">'Cash Flow'!#REF!</definedName>
    <definedName name="rowhide_non_operating_other_income">'Cash Flow'!#REF!</definedName>
    <definedName name="rowhide_past_accountspayable">Past!$28:$28</definedName>
    <definedName name="rowhide_past_accountsreceivable">Past!$15:$15</definedName>
    <definedName name="rowhide_past_collectionperiod">Past!$7:$7</definedName>
    <definedName name="rowhide_past_inventory">Past!$16:$16</definedName>
    <definedName name="rowhide_past_inventoryturnover">Past!$8:$8</definedName>
    <definedName name="rowhide_past_otherinputs">Past!$42:$46</definedName>
    <definedName name="rowhide_past_paymentdays">Past!$44:$44</definedName>
    <definedName name="rowhide_past_receivablesturnover">Past!$46:$46</definedName>
    <definedName name="rowhide_past_salesoncredit">Past!$45:$45</definedName>
    <definedName name="rowhide_ratios_accountspayableturnover">Ratios!$39:$39</definedName>
    <definedName name="rowhide_ratios_ar">Ratios!$6:$6</definedName>
    <definedName name="rowhide_ratios_arturnover">Ratios!$36:$36</definedName>
    <definedName name="rowhide_ratios_collectiondays">Ratios!$37:$37</definedName>
    <definedName name="rowhide_ratios_inventory">Ratios!$7:$7</definedName>
    <definedName name="rowhide_ratios_inventoryturnover">Ratios!$38:$38</definedName>
    <definedName name="rowhide_ratios_paymentdays">Ratios!$40:$40</definedName>
    <definedName name="rowhide_salesoncredit" localSheetId="15">Calculations!#REF!</definedName>
    <definedName name="rowhide_salesoncredit" localSheetId="16">Calculations!#REF!</definedName>
    <definedName name="rowhide_salesoncredit" localSheetId="1">Calculations!#REF!</definedName>
    <definedName name="rowhide_salesoncredit">Calculations!#REF!</definedName>
    <definedName name="rowhide_salesoncredit_percent">#REF!</definedName>
    <definedName name="rowhide_startupinventory">#REF!</definedName>
    <definedName name="rowhide_su_decreaseinap">'Sources and Uses'!$17:$17</definedName>
    <definedName name="rowhide_su_decreaseinar">'Sources and Uses'!$7:$7</definedName>
    <definedName name="rowhide_su_decreaseininventory">'Sources and Uses'!$8:$8</definedName>
    <definedName name="rowhide_su_increaseinap">'Sources and Uses'!$6:$6</definedName>
    <definedName name="rowhide_su_increaseinar">'Sources and Uses'!$18:$18</definedName>
    <definedName name="rowhide_su_increaseininventory">'Sources and Uses'!$19:$19</definedName>
    <definedName name="sales">'P&amp;L'!$A$3:$AJ$3</definedName>
    <definedName name="sales_2">'P&amp;L'!$A$3:$AJ$3</definedName>
    <definedName name="sales_3">'P&amp;L'!$A$3:$AJ$3</definedName>
    <definedName name="sales_4">'P&amp;L'!$A$3:$AJ$3</definedName>
    <definedName name="sales_5">'P&amp;L'!$A$3:$AJ$3</definedName>
    <definedName name="sales_6">'P&amp;L'!$A$3:$AJ$3</definedName>
    <definedName name="sales_actual">'P&amp;L'!$CR$3:$DI$3</definedName>
    <definedName name="sales_and_marketing_percent" localSheetId="15">'P&amp;L'!#REF!</definedName>
    <definedName name="sales_and_marketing_percent" localSheetId="16">'P&amp;L'!#REF!</definedName>
    <definedName name="sales_and_marketing_percent" localSheetId="1">'P&amp;L'!#REF!</definedName>
    <definedName name="sales_and_marketing_percent" localSheetId="0">'P&amp;L'!#REF!</definedName>
    <definedName name="sales_and_marketing_percent">'P&amp;L'!#REF!</definedName>
    <definedName name="sales_of_long_term_assets" localSheetId="15">DCF!#REF!</definedName>
    <definedName name="sales_of_long_term_assets" localSheetId="16">'Hi-Vol Surgeons'!#REF!</definedName>
    <definedName name="sales_of_long_term_assets" localSheetId="1">'Cash Flow'!#REF!</definedName>
    <definedName name="sales_of_long_term_assets">'Cash Flow'!#REF!</definedName>
    <definedName name="sales_of_other_current_assets" localSheetId="15">DCF!#REF!</definedName>
    <definedName name="sales_of_other_current_assets" localSheetId="16">'Hi-Vol Surgeons'!#REF!</definedName>
    <definedName name="sales_of_other_current_assets" localSheetId="1">'Cash Flow'!#REF!</definedName>
    <definedName name="sales_of_other_current_assets">'Cash Flow'!#REF!</definedName>
    <definedName name="sales_on_credit">#REF!</definedName>
    <definedName name="sales_on_credit_percent">#REF!</definedName>
    <definedName name="sales_tax_vat_hst_gst_paidout" localSheetId="15">DCF!#REF!</definedName>
    <definedName name="sales_tax_vat_hst_gst_paidout" localSheetId="16">'Hi-Vol Surgeons'!#REF!</definedName>
    <definedName name="sales_tax_vat_hst_gst_paidout" localSheetId="1">'Cash Flow'!#REF!</definedName>
    <definedName name="sales_tax_vat_hst_gst_paidout">'Cash Flow'!#REF!</definedName>
    <definedName name="sales_tax_vat_hst_gst_received" localSheetId="15">DCF!#REF!</definedName>
    <definedName name="sales_tax_vat_hst_gst_received" localSheetId="16">'Hi-Vol Surgeons'!#REF!</definedName>
    <definedName name="sales_tax_vat_hst_gst_received" localSheetId="1">'Cash Flow'!#REF!</definedName>
    <definedName name="sales_tax_vat_hst_gst_received">'Cash Flow'!#REF!</definedName>
    <definedName name="sales_units_directcosts" localSheetId="15">'Sales and COGS Forecasts'!#REF!</definedName>
    <definedName name="sales_units_directcosts" localSheetId="16">'Sales and COGS Forecasts'!#REF!</definedName>
    <definedName name="sales_units_directcosts" localSheetId="1">'Sales and COGS Forecasts (OLD)'!#REF!</definedName>
    <definedName name="sales_units_directcosts" localSheetId="0">'Sales Forecast (old)'!$A$40:$AG$42</definedName>
    <definedName name="sales_units_directcosts">'Sales and COGS Forecasts'!#REF!</definedName>
    <definedName name="sales_units_sales" localSheetId="15">'Sales and COGS Forecasts'!#REF!</definedName>
    <definedName name="sales_units_sales" localSheetId="16">'Sales and COGS Forecasts'!#REF!</definedName>
    <definedName name="sales_units_sales" localSheetId="1">'Sales and COGS Forecasts (OLD)'!#REF!</definedName>
    <definedName name="sales_units_sales" localSheetId="0">'Sales Forecast (old)'!$A$29:$AG$31</definedName>
    <definedName name="sales_units_sales">'Sales and COGS Forecasts'!#REF!</definedName>
    <definedName name="sales_variance">'P&amp;L'!$DK$3:$EB$3</definedName>
    <definedName name="salesunits" localSheetId="15">'Sales and COGS Forecasts'!#REF!</definedName>
    <definedName name="salesunits" localSheetId="16">'Sales and COGS Forecasts'!#REF!</definedName>
    <definedName name="salesunits" localSheetId="1">'Sales and COGS Forecasts (OLD)'!#REF!</definedName>
    <definedName name="salesunits" localSheetId="0">'Sales Forecast (old)'!$A$32:$AG$32</definedName>
    <definedName name="salesunits">'Sales and COGS Forecasts'!#REF!</definedName>
    <definedName name="salesunits_actual" localSheetId="15">'Sales and COGS Forecasts'!#REF!</definedName>
    <definedName name="salesunits_actual" localSheetId="16">'Sales and COGS Forecasts'!#REF!</definedName>
    <definedName name="salesunits_actual" localSheetId="1">'Sales and COGS Forecasts (OLD)'!#REF!</definedName>
    <definedName name="salesunits_actual" localSheetId="0">'Sales Forecast (old)'!$CO$32:$DF$32</definedName>
    <definedName name="salesunits_actual">'Sales and COGS Forecasts'!#REF!</definedName>
    <definedName name="salesunits_variance" localSheetId="15">'Sales and COGS Forecasts'!#REF!</definedName>
    <definedName name="salesunits_variance" localSheetId="16">'Sales and COGS Forecasts'!#REF!</definedName>
    <definedName name="salesunits_variance" localSheetId="1">'Sales and COGS Forecasts (OLD)'!#REF!</definedName>
    <definedName name="salesunits_variance" localSheetId="0">'Sales Forecast (old)'!$DH$32:$DY$32</definedName>
    <definedName name="salesunits_variance">'Sales and COGS Forecasts'!#REF!</definedName>
    <definedName name="salesvalues" localSheetId="1">'Sales and COGS Forecasts (OLD)'!$A$452:$AE$452</definedName>
    <definedName name="salesvalues" localSheetId="0">'Sales Forecast (old)'!$A$7:$AG$7</definedName>
    <definedName name="salesvalues">'Sales and COGS Forecasts'!$A$452:$AJ$452</definedName>
    <definedName name="salesvalues_actual" localSheetId="15">'Sales and COGS Forecasts'!#REF!</definedName>
    <definedName name="salesvalues_actual" localSheetId="16">'Sales and COGS Forecasts'!#REF!</definedName>
    <definedName name="salesvalues_actual" localSheetId="1">'Sales and COGS Forecasts (OLD)'!#REF!</definedName>
    <definedName name="salesvalues_actual" localSheetId="0">'Sales Forecast (old)'!$CO$7:$DF$7</definedName>
    <definedName name="salesvalues_actual">'Sales and COGS Forecasts'!#REF!</definedName>
    <definedName name="salesvalues_variance" localSheetId="15">'Sales and COGS Forecasts'!#REF!</definedName>
    <definedName name="salesvalues_variance" localSheetId="16">'Sales and COGS Forecasts'!#REF!</definedName>
    <definedName name="salesvalues_variance" localSheetId="1">'Sales and COGS Forecasts (OLD)'!#REF!</definedName>
    <definedName name="salesvalues_variance" localSheetId="0">'Sales Forecast (old)'!$DH$7:$DY$7</definedName>
    <definedName name="salesvalues_variance">'Sales and COGS Forecasts'!#REF!</definedName>
    <definedName name="starting_balance_inventory">Balance!$B$8</definedName>
    <definedName name="startup_accounts_payable">Funding!$B$19</definedName>
    <definedName name="startup_additional_cash_raised">Funding!$B$9</definedName>
    <definedName name="startup_cash_required">#REF!</definedName>
    <definedName name="startup_current_borrowing">Funding!$B$17</definedName>
    <definedName name="startup_inventory">#REF!</definedName>
    <definedName name="startup_long_term_assets">#REF!</definedName>
    <definedName name="startup_long_term_liabilities">Funding!$B$18</definedName>
    <definedName name="startup_other_current_assets">#REF!</definedName>
    <definedName name="startup_other_current_liabilities">Funding!$B$20</definedName>
    <definedName name="startup_total_assets">#REF!</definedName>
    <definedName name="startup_total_capital">Funding!$B$32</definedName>
    <definedName name="startup_total_investment">Funding!$B$29</definedName>
    <definedName name="startup_total_liabilities">Funding!$B$21</definedName>
    <definedName name="startup_total_requirements">#REF!</definedName>
    <definedName name="subtotal_cash_from_operations" localSheetId="15">DCF!#REF!</definedName>
    <definedName name="subtotal_cash_from_operations" localSheetId="16">'Hi-Vol Surgeons'!#REF!</definedName>
    <definedName name="subtotal_cash_from_operations" localSheetId="1">'Cash Flow'!#REF!</definedName>
    <definedName name="subtotal_cash_from_operations">'Cash Flow'!#REF!</definedName>
    <definedName name="subtotal_cash_received" localSheetId="15">DCF!#REF!</definedName>
    <definedName name="subtotal_cash_received" localSheetId="16">'Hi-Vol Surgeons'!#REF!</definedName>
    <definedName name="subtotal_cash_received" localSheetId="1">'Cash Flow'!#REF!</definedName>
    <definedName name="subtotal_cash_received">'Cash Flow'!#REF!</definedName>
    <definedName name="subtotal_cash_spent" localSheetId="15">DCF!#REF!</definedName>
    <definedName name="subtotal_cash_spent" localSheetId="16">'Hi-Vol Surgeons'!#REF!</definedName>
    <definedName name="subtotal_cash_spent" localSheetId="1">'Cash Flow'!#REF!</definedName>
    <definedName name="subtotal_cash_spent">'Cash Flow'!#REF!</definedName>
    <definedName name="subtotal_current_liabilities">Balance!$A$21:$AJ$21</definedName>
    <definedName name="subtotal_direct_cost_of_sales_units" localSheetId="15">'Sales and COGS Forecasts'!#REF!</definedName>
    <definedName name="subtotal_direct_cost_of_sales_units" localSheetId="16">'Sales and COGS Forecasts'!#REF!</definedName>
    <definedName name="subtotal_direct_cost_of_sales_units" localSheetId="1">'Sales and COGS Forecasts (OLD)'!#REF!</definedName>
    <definedName name="subtotal_direct_cost_of_sales_units" localSheetId="0">'Sales Forecast (old)'!$A$43:$AG$43</definedName>
    <definedName name="subtotal_direct_cost_of_sales_units">'Sales and COGS Forecasts'!#REF!</definedName>
    <definedName name="subtotal_direct_cost_of_sales_units_actual" localSheetId="15">'Sales and COGS Forecasts'!#REF!</definedName>
    <definedName name="subtotal_direct_cost_of_sales_units_actual" localSheetId="16">'Sales and COGS Forecasts'!#REF!</definedName>
    <definedName name="subtotal_direct_cost_of_sales_units_actual" localSheetId="1">'Sales and COGS Forecasts (OLD)'!#REF!</definedName>
    <definedName name="subtotal_direct_cost_of_sales_units_actual" localSheetId="0">'Sales Forecast (old)'!$CO$43:$DF$43</definedName>
    <definedName name="subtotal_direct_cost_of_sales_units_actual">'Sales and COGS Forecasts'!#REF!</definedName>
    <definedName name="subtotal_direct_cost_of_sales_units_variance" localSheetId="15">'Sales and COGS Forecasts'!#REF!</definedName>
    <definedName name="subtotal_direct_cost_of_sales_units_variance" localSheetId="16">'Sales and COGS Forecasts'!#REF!</definedName>
    <definedName name="subtotal_direct_cost_of_sales_units_variance" localSheetId="1">'Sales and COGS Forecasts (OLD)'!#REF!</definedName>
    <definedName name="subtotal_direct_cost_of_sales_units_variance" localSheetId="0">'Sales Forecast (old)'!$DH$43:$DY$43</definedName>
    <definedName name="subtotal_direct_cost_of_sales_units_variance">'Sales and COGS Forecasts'!#REF!</definedName>
    <definedName name="subtotal_direct_cost_of_sales_values" localSheetId="15">'Sales and COGS Forecasts'!#REF!</definedName>
    <definedName name="subtotal_direct_cost_of_sales_values" localSheetId="16">'Sales and COGS Forecasts'!#REF!</definedName>
    <definedName name="subtotal_direct_cost_of_sales_values" localSheetId="1">'Sales and COGS Forecasts (OLD)'!#REF!</definedName>
    <definedName name="subtotal_direct_cost_of_sales_values" localSheetId="0">'Sales Forecast (old)'!$A$12:$AG$12</definedName>
    <definedName name="subtotal_direct_cost_of_sales_values">'Sales and COGS Forecasts'!#REF!</definedName>
    <definedName name="subtotal_direct_cost_of_sales_values_actual" localSheetId="15">'Sales and COGS Forecasts'!#REF!</definedName>
    <definedName name="subtotal_direct_cost_of_sales_values_actual" localSheetId="16">'Sales and COGS Forecasts'!#REF!</definedName>
    <definedName name="subtotal_direct_cost_of_sales_values_actual" localSheetId="1">'Sales and COGS Forecasts (OLD)'!#REF!</definedName>
    <definedName name="subtotal_direct_cost_of_sales_values_actual" localSheetId="0">'Sales Forecast (old)'!$CO$12:$DF$12</definedName>
    <definedName name="subtotal_direct_cost_of_sales_values_actual">'Sales and COGS Forecasts'!#REF!</definedName>
    <definedName name="subtotal_direct_cost_of_sales_values_variance" localSheetId="15">'Sales and COGS Forecasts'!#REF!</definedName>
    <definedName name="subtotal_direct_cost_of_sales_values_variance" localSheetId="16">'Sales and COGS Forecasts'!#REF!</definedName>
    <definedName name="subtotal_direct_cost_of_sales_values_variance" localSheetId="1">'Sales and COGS Forecasts (OLD)'!#REF!</definedName>
    <definedName name="subtotal_direct_cost_of_sales_values_variance" localSheetId="0">'Sales Forecast (old)'!$DH$12:$DY$12</definedName>
    <definedName name="subtotal_direct_cost_of_sales_values_variance">'Sales and COGS Forecasts'!#REF!</definedName>
    <definedName name="subtotal_spent_on_operations" localSheetId="15">DCF!#REF!</definedName>
    <definedName name="subtotal_spent_on_operations" localSheetId="16">'Hi-Vol Surgeons'!#REF!</definedName>
    <definedName name="subtotal_spent_on_operations" localSheetId="1">'Cash Flow'!#REF!</definedName>
    <definedName name="subtotal_spent_on_operations">'Cash Flow'!#REF!</definedName>
    <definedName name="table_balancesheet_labels">Balance!$A$1:$A$30</definedName>
    <definedName name="table_balancesheet_planned_annuals">Balance!$AG$1:$AJ$30</definedName>
    <definedName name="table_balancesheet_planned_year1">Balance!$B$1:$T$30</definedName>
    <definedName name="table_balancesheet_planned_year2">Balance!$U$1:$AF$30</definedName>
    <definedName name="table_breakevenanalysis">'Break-even'!$A$1:$O$10</definedName>
    <definedName name="table_cashflow_labels" localSheetId="15">DCF!$A$1:$A$17</definedName>
    <definedName name="table_cashflow_labels" localSheetId="16">'Hi-Vol Surgeons'!$A$1:$A$10</definedName>
    <definedName name="table_cashflow_labels">'Cash Flow'!$A$1:$A$33</definedName>
    <definedName name="table_cashflow_planned_annuals" localSheetId="15">DCF!$D$1:$G$17</definedName>
    <definedName name="table_cashflow_planned_annuals" localSheetId="16">'Hi-Vol Surgeons'!$D$1:$G$10</definedName>
    <definedName name="table_cashflow_planned_annuals">'Cash Flow'!$AG$1:$AJ$33</definedName>
    <definedName name="table_cashflow_planned_year1" localSheetId="15">DCF!$B$1:$C$17</definedName>
    <definedName name="table_cashflow_planned_year1" localSheetId="16">'Hi-Vol Surgeons'!$B$1:$C$10</definedName>
    <definedName name="table_cashflow_planned_year1">'Cash Flow'!$G$1:$T$33</definedName>
    <definedName name="table_cashflow_planned_year2" localSheetId="15">DCF!#REF!</definedName>
    <definedName name="table_cashflow_planned_year2" localSheetId="16">'Hi-Vol Surgeons'!#REF!</definedName>
    <definedName name="table_cashflow_planned_year2">'Cash Flow'!$U$1:$AF$33</definedName>
    <definedName name="table_funding">Funding!$A$1:$B$37</definedName>
    <definedName name="table_generalassumptions_annuals">Calculations!$AD$1:$AG$157</definedName>
    <definedName name="table_generalassumptions_labels">Calculations!$A$1:$A$157</definedName>
    <definedName name="table_generalassumptions_year1">Calculations!$E$1:$Q$157</definedName>
    <definedName name="table_generalassumptions_year2">Calculations!$R$1:$AC$157</definedName>
    <definedName name="table_inventorydetail_labels">#REF!</definedName>
    <definedName name="table_inventorydetail_planned_annuals">#REF!</definedName>
    <definedName name="table_inventorydetail_planned_year1">#REF!</definedName>
    <definedName name="table_inventorydetail_planned_year2">#REF!</definedName>
    <definedName name="table_investmentanalysis">#REF!</definedName>
    <definedName name="table_investmentoffering">#REF!</definedName>
    <definedName name="table_longterm">'Long term'!$A$1:$AL$14</definedName>
    <definedName name="table_marketanalysis">Market!$A$1:$H$6</definedName>
    <definedName name="table_milestones_actual">Milestones!$AB$1:$AF$24</definedName>
    <definedName name="table_milestones_labels">Milestones!$A$1:$A$24</definedName>
    <definedName name="table_milestones_planned">Milestones!$A$1:$F$24</definedName>
    <definedName name="table_milestones_variance">Milestones!$BB$1:$BF$24</definedName>
    <definedName name="table_pastperformance">Past!$A$1:$D$46</definedName>
    <definedName name="table_payablesdetail_labels">#REF!</definedName>
    <definedName name="table_payablesdetail_planned_annuals">#REF!</definedName>
    <definedName name="table_payablesdetail_planned_year1">#REF!</definedName>
    <definedName name="table_payablesdetail_planned_year2">#REF!</definedName>
    <definedName name="table_payback">#REF!</definedName>
    <definedName name="table_personalnetworth">'Personal Net Worth'!$A$1:$C$44</definedName>
    <definedName name="table_personnelcomplex_labels">Personnel!$A$14:$A$42</definedName>
    <definedName name="table_personnelcomplex_planned_annuals">Personnel!$AC$14:$AG$42</definedName>
    <definedName name="table_personnelcomplex_planned_year1">Personnel!$B$14:$O$42</definedName>
    <definedName name="table_personnelcomplex_planned_year2">Personnel!$P$14:$AB$42</definedName>
    <definedName name="table_personnelmedium_labels">Personnel!$A$5:$A$12</definedName>
    <definedName name="table_personnelmedium_planned_annuals">Personnel!$AC$5:$AG$12</definedName>
    <definedName name="table_personnelmedium_planned_year1">Personnel!$B$5:$O$12</definedName>
    <definedName name="table_personnelmedium_planned_year2">Personnel!$P$5:$AB$12</definedName>
    <definedName name="table_personnelpeoplebased_labels">Personnel!$A$44:$A$68</definedName>
    <definedName name="table_personnelpeoplebased_planned_annuals">Personnel!$AC$44:$AG$68</definedName>
    <definedName name="table_personnelpeoplebased_planned_year1">Personnel!$B$44:$O$68</definedName>
    <definedName name="table_personnelpeoplebased_planned_year2">Personnel!$P$44:$AB$68</definedName>
    <definedName name="table_personnelsimple_labels">Personnel!$A$1:$A$3</definedName>
    <definedName name="table_personnelsimple_planned_annuals">Personnel!$AC$1:$AG$3</definedName>
    <definedName name="table_personnelsimple_planned_year1">Personnel!$B$1:$O$3</definedName>
    <definedName name="table_personnelsimple_planned_year2">Personnel!$P$1:$AB$3</definedName>
    <definedName name="table_profitandloss_actual_annuals">'P&amp;L'!$DF$1:$DI$50</definedName>
    <definedName name="table_profitandloss_actual_year1">'P&amp;L'!$CR$1:$DE$50</definedName>
    <definedName name="table_profitandloss_annuals">'P&amp;L'!$AG$1:$AJ$50</definedName>
    <definedName name="table_profitandloss_labels">'P&amp;L'!$A$1:$A$50</definedName>
    <definedName name="table_profitandloss_planned_annuals">'P&amp;L'!$AG$1:$AJ$50</definedName>
    <definedName name="table_profitandloss_planned_year1">'P&amp;L'!$B$1:$T$50</definedName>
    <definedName name="table_profitandloss_planned_year2">'P&amp;L'!$U$1:$AF$50</definedName>
    <definedName name="table_profitandloss_variance_annuals">'P&amp;L'!$DY$1:$EB$50</definedName>
    <definedName name="table_profitandloss_variance_year1">'P&amp;L'!$DK$1:$DX$50</definedName>
    <definedName name="table_ratios">Ratios!$A$1:$AH$56</definedName>
    <definedName name="table_receivablesdetail_labels">#REF!</definedName>
    <definedName name="table_receivablesdetail_planned_annuals">#REF!</definedName>
    <definedName name="table_receivablesdetail_planned_year1">#REF!</definedName>
    <definedName name="table_receivablesdetail_planned_year2">#REF!</definedName>
    <definedName name="table_salesunits_annuals" localSheetId="15">'Sales and COGS Forecasts'!#REF!</definedName>
    <definedName name="table_salesunits_annuals" localSheetId="16">'Sales and COGS Forecasts'!#REF!</definedName>
    <definedName name="table_salesunits_annuals" localSheetId="1">'Sales and COGS Forecasts (OLD)'!#REF!</definedName>
    <definedName name="table_salesunits_annuals" localSheetId="0">'Sales Forecast (old)'!$AC$15:$AG$43</definedName>
    <definedName name="table_salesunits_annuals">'Sales and COGS Forecasts'!#REF!</definedName>
    <definedName name="table_salesunits_annuals_actual" localSheetId="15">'Sales and COGS Forecasts'!#REF!</definedName>
    <definedName name="table_salesunits_annuals_actual" localSheetId="16">'Sales and COGS Forecasts'!#REF!</definedName>
    <definedName name="table_salesunits_annuals_actual" localSheetId="1">'Sales and COGS Forecasts (OLD)'!#REF!</definedName>
    <definedName name="table_salesunits_annuals_actual" localSheetId="0">'Sales Forecast (old)'!$DC$15:$DF$43</definedName>
    <definedName name="table_salesunits_annuals_actual">'Sales and COGS Forecasts'!#REF!</definedName>
    <definedName name="table_salesunits_annuals_variance" localSheetId="15">'Sales and COGS Forecasts'!#REF!</definedName>
    <definedName name="table_salesunits_annuals_variance" localSheetId="16">'Sales and COGS Forecasts'!#REF!</definedName>
    <definedName name="table_salesunits_annuals_variance" localSheetId="1">'Sales and COGS Forecasts (OLD)'!#REF!</definedName>
    <definedName name="table_salesunits_annuals_variance" localSheetId="0">'Sales Forecast (old)'!$DV$15:$DY$43</definedName>
    <definedName name="table_salesunits_annuals_variance">'Sales and COGS Forecasts'!#REF!</definedName>
    <definedName name="table_salesunits_labels" localSheetId="15">'Sales and COGS Forecasts'!#REF!</definedName>
    <definedName name="table_salesunits_labels" localSheetId="16">'Sales and COGS Forecasts'!#REF!</definedName>
    <definedName name="table_salesunits_labels" localSheetId="1">'Sales and COGS Forecasts (OLD)'!#REF!</definedName>
    <definedName name="table_salesunits_labels" localSheetId="0">'Sales Forecast (old)'!$A$15:$A$43</definedName>
    <definedName name="table_salesunits_labels">'Sales and COGS Forecasts'!#REF!</definedName>
    <definedName name="table_salesunits_year1" localSheetId="15">'Sales and COGS Forecasts'!#REF!</definedName>
    <definedName name="table_salesunits_year1" localSheetId="16">'Sales and COGS Forecasts'!#REF!</definedName>
    <definedName name="table_salesunits_year1" localSheetId="1">'Sales and COGS Forecasts (OLD)'!#REF!</definedName>
    <definedName name="table_salesunits_year1" localSheetId="0">'Sales Forecast (old)'!$B$15:$O$43</definedName>
    <definedName name="table_salesunits_year1">'Sales and COGS Forecasts'!#REF!</definedName>
    <definedName name="table_salesunits_year1_actual" localSheetId="15">'Sales and COGS Forecasts'!#REF!</definedName>
    <definedName name="table_salesunits_year1_actual" localSheetId="16">'Sales and COGS Forecasts'!#REF!</definedName>
    <definedName name="table_salesunits_year1_actual" localSheetId="1">'Sales and COGS Forecasts (OLD)'!#REF!</definedName>
    <definedName name="table_salesunits_year1_actual" localSheetId="0">'Sales Forecast (old)'!$CO$15:$DB$43</definedName>
    <definedName name="table_salesunits_year1_actual">'Sales and COGS Forecasts'!#REF!</definedName>
    <definedName name="table_salesunits_year1_variance" localSheetId="15">'Sales and COGS Forecasts'!#REF!</definedName>
    <definedName name="table_salesunits_year1_variance" localSheetId="16">'Sales and COGS Forecasts'!#REF!</definedName>
    <definedName name="table_salesunits_year1_variance" localSheetId="1">'Sales and COGS Forecasts (OLD)'!#REF!</definedName>
    <definedName name="table_salesunits_year1_variance" localSheetId="0">'Sales Forecast (old)'!$DH$15:$DU$43</definedName>
    <definedName name="table_salesunits_year1_variance">'Sales and COGS Forecasts'!#REF!</definedName>
    <definedName name="table_salesunits_year2" localSheetId="15">'Sales and COGS Forecasts'!#REF!</definedName>
    <definedName name="table_salesunits_year2" localSheetId="16">'Sales and COGS Forecasts'!#REF!</definedName>
    <definedName name="table_salesunits_year2" localSheetId="1">'Sales and COGS Forecasts (OLD)'!#REF!</definedName>
    <definedName name="table_salesunits_year2" localSheetId="0">'Sales Forecast (old)'!$P$15:$AB$43</definedName>
    <definedName name="table_salesunits_year2">'Sales and COGS Forecasts'!#REF!</definedName>
    <definedName name="table_salesvalues_annuals" localSheetId="1">'Sales and COGS Forecasts (OLD)'!$AB$1:$AE$467</definedName>
    <definedName name="table_salesvalues_annuals" localSheetId="0">'Sales Forecast (old)'!$AC$1:$AG$12</definedName>
    <definedName name="table_salesvalues_annuals">'Sales and COGS Forecasts'!$AG$1:$AJ$467</definedName>
    <definedName name="table_salesvalues_annuals_actual" localSheetId="15">'Sales and COGS Forecasts'!#REF!</definedName>
    <definedName name="table_salesvalues_annuals_actual" localSheetId="16">'Sales and COGS Forecasts'!#REF!</definedName>
    <definedName name="table_salesvalues_annuals_actual" localSheetId="1">'Sales and COGS Forecasts (OLD)'!#REF!</definedName>
    <definedName name="table_salesvalues_annuals_actual" localSheetId="0">'Sales Forecast (old)'!$DC$1:$DF$12</definedName>
    <definedName name="table_salesvalues_annuals_actual">'Sales and COGS Forecasts'!#REF!</definedName>
    <definedName name="table_salesvalues_annuals_variance" localSheetId="15">'Sales and COGS Forecasts'!#REF!</definedName>
    <definedName name="table_salesvalues_annuals_variance" localSheetId="16">'Sales and COGS Forecasts'!#REF!</definedName>
    <definedName name="table_salesvalues_annuals_variance" localSheetId="1">'Sales and COGS Forecasts (OLD)'!#REF!</definedName>
    <definedName name="table_salesvalues_annuals_variance" localSheetId="0">'Sales Forecast (old)'!$DV$1:$DY$12</definedName>
    <definedName name="table_salesvalues_annuals_variance">'Sales and COGS Forecasts'!#REF!</definedName>
    <definedName name="table_salesvalues_labels" localSheetId="1">'Sales and COGS Forecasts (OLD)'!$A$1:$A$467</definedName>
    <definedName name="table_salesvalues_labels" localSheetId="0">'Sales Forecast (old)'!$A$1:$A$12</definedName>
    <definedName name="table_salesvalues_labels">'Sales and COGS Forecasts'!$A$1:$A$467</definedName>
    <definedName name="table_salesvalues_year1" localSheetId="1">'Sales and COGS Forecasts (OLD)'!$B$1:$O$467</definedName>
    <definedName name="table_salesvalues_year1" localSheetId="0">'Sales Forecast (old)'!$B$1:$O$12</definedName>
    <definedName name="table_salesvalues_year1">'Sales and COGS Forecasts'!$G$1:$T$467</definedName>
    <definedName name="table_salesvalues_year1_actual" localSheetId="15">'Sales and COGS Forecasts'!#REF!</definedName>
    <definedName name="table_salesvalues_year1_actual" localSheetId="16">'Sales and COGS Forecasts'!#REF!</definedName>
    <definedName name="table_salesvalues_year1_actual" localSheetId="1">'Sales and COGS Forecasts (OLD)'!#REF!</definedName>
    <definedName name="table_salesvalues_year1_actual" localSheetId="0">'Sales Forecast (old)'!$CO$1:$DB$12</definedName>
    <definedName name="table_salesvalues_year1_actual">'Sales and COGS Forecasts'!#REF!</definedName>
    <definedName name="table_salesvalues_year1_variance" localSheetId="15">'Sales and COGS Forecasts'!#REF!</definedName>
    <definedName name="table_salesvalues_year1_variance" localSheetId="16">'Sales and COGS Forecasts'!#REF!</definedName>
    <definedName name="table_salesvalues_year1_variance" localSheetId="1">'Sales and COGS Forecasts (OLD)'!#REF!</definedName>
    <definedName name="table_salesvalues_year1_variance" localSheetId="0">'Sales Forecast (old)'!$DH$1:$DU$12</definedName>
    <definedName name="table_salesvalues_year1_variance">'Sales and COGS Forecasts'!#REF!</definedName>
    <definedName name="table_salesvalues_year2" localSheetId="1">'Sales and COGS Forecasts (OLD)'!$P$1:$AA$467</definedName>
    <definedName name="table_salesvalues_year2" localSheetId="0">'Sales Forecast (old)'!$P$1:$AB$12</definedName>
    <definedName name="table_salesvalues_year2">'Sales and COGS Forecasts'!$U$1:$AF$467</definedName>
    <definedName name="table_simplefinancials_annuals">Financials!$P$1:$S$46</definedName>
    <definedName name="table_simplefinancials_labels">Financials!$A$1:$A$46</definedName>
    <definedName name="table_simplefinancials_year1">Financials!$B$1:$O$46</definedName>
    <definedName name="table_sourcesanduses_annuals">'Sources and Uses'!$AC$1:$AG$27</definedName>
    <definedName name="table_sourcesanduses_labels">'Sources and Uses'!$A$1:$A$27</definedName>
    <definedName name="table_sourcesanduses_year1">'Sources and Uses'!$B$1:$O$27</definedName>
    <definedName name="table_sourcesanduses_year2">'Sources and Uses'!$P$1:$AC$27</definedName>
    <definedName name="table_startup">#REF!</definedName>
    <definedName name="table_useoffunds">'Use of Funds'!$A$1:$B$8</definedName>
    <definedName name="tax_rate">Calculations!$A$156:$AG$156</definedName>
    <definedName name="taxes_incurred">'P&amp;L'!$A$47:$AJ$47</definedName>
    <definedName name="taxes_incurred_actual">'P&amp;L'!$CR$47:$DI$47</definedName>
    <definedName name="taxes_incurred_variance">'P&amp;L'!$DK$47:$EB$47</definedName>
    <definedName name="tool_cash_pilot" localSheetId="15">Balance!#REF!</definedName>
    <definedName name="tool_cash_pilot" localSheetId="16">Balance!#REF!</definedName>
    <definedName name="tool_cash_pilot" localSheetId="1">Balance!#REF!</definedName>
    <definedName name="tool_cash_pilot">Balance!#REF!</definedName>
    <definedName name="tool_cash_pilot2" localSheetId="15">Balance!#REF!</definedName>
    <definedName name="tool_cash_pilot2" localSheetId="16">Balance!#REF!</definedName>
    <definedName name="tool_cash_pilot2" localSheetId="1">Balance!#REF!</definedName>
    <definedName name="tool_cash_pilot2">Balance!#REF!</definedName>
    <definedName name="total_assets">Balance!$A$14:$AJ$14</definedName>
    <definedName name="total_capital">Balance!$A$28:$AJ$28</definedName>
    <definedName name="total_cost_of_sales">'P&amp;L'!$A$10:$AJ$10</definedName>
    <definedName name="total_cost_of_sales_actual">'P&amp;L'!$CR$10:$DI$10</definedName>
    <definedName name="total_cost_of_sales_variance">'P&amp;L'!$DK$10:$EB$10</definedName>
    <definedName name="total_current_assets">Balance!$A$9:$AJ$9</definedName>
    <definedName name="total_expense">'P&amp;L'!$A$36:$AJ$36</definedName>
    <definedName name="total_general_and_administrative_expense">'P&amp;L'!$A$36:$AJ$36</definedName>
    <definedName name="total_general_and_administrative_expense_actual">'P&amp;L'!$CR$36:$DI$36</definedName>
    <definedName name="total_general_and_administrative_expense_variance">'P&amp;L'!$DK$36:$EB$36</definedName>
    <definedName name="total_liabilities">Balance!$A$24:$AJ$24</definedName>
    <definedName name="total_liabilities_and_capital">Balance!$A$29:$AJ$29</definedName>
    <definedName name="total_long_term_assets">Balance!$A$13:$AJ$13</definedName>
    <definedName name="total_operating_expenses" localSheetId="16">'P&amp;L'!#REF!</definedName>
    <definedName name="total_operating_expenses" localSheetId="1">'P&amp;L'!#REF!</definedName>
    <definedName name="total_operating_expenses">'P&amp;L'!#REF!</definedName>
    <definedName name="total_operating_expenses_actual" localSheetId="16">'P&amp;L'!#REF!</definedName>
    <definedName name="total_operating_expenses_actual" localSheetId="1">'P&amp;L'!#REF!</definedName>
    <definedName name="total_operating_expenses_actual">'P&amp;L'!#REF!</definedName>
    <definedName name="total_operating_expenses_variance" localSheetId="16">'P&amp;L'!#REF!</definedName>
    <definedName name="total_operating_expenses_variance" localSheetId="1">'P&amp;L'!#REF!</definedName>
    <definedName name="total_operating_expenses_variance">'P&amp;L'!#REF!</definedName>
    <definedName name="total_other_expense" localSheetId="15">'P&amp;L'!#REF!</definedName>
    <definedName name="total_other_expense" localSheetId="16">'P&amp;L'!#REF!</definedName>
    <definedName name="total_other_expense" localSheetId="1">'P&amp;L'!#REF!</definedName>
    <definedName name="total_other_expense">'P&amp;L'!#REF!</definedName>
    <definedName name="total_other_expense_actual" localSheetId="15">'P&amp;L'!#REF!</definedName>
    <definedName name="total_other_expense_actual" localSheetId="16">'P&amp;L'!#REF!</definedName>
    <definedName name="total_other_expense_actual" localSheetId="1">'P&amp;L'!#REF!</definedName>
    <definedName name="total_other_expense_actual">'P&amp;L'!#REF!</definedName>
    <definedName name="total_other_expense_variance" localSheetId="15">'P&amp;L'!#REF!</definedName>
    <definedName name="total_other_expense_variance" localSheetId="16">'P&amp;L'!#REF!</definedName>
    <definedName name="total_other_expense_variance" localSheetId="1">'P&amp;L'!#REF!</definedName>
    <definedName name="total_other_expense_variance">'P&amp;L'!#REF!</definedName>
    <definedName name="total_other_income" localSheetId="15">'P&amp;L'!#REF!</definedName>
    <definedName name="total_other_income" localSheetId="16">'P&amp;L'!#REF!</definedName>
    <definedName name="total_other_income" localSheetId="1">'P&amp;L'!#REF!</definedName>
    <definedName name="total_other_income">'P&amp;L'!#REF!</definedName>
    <definedName name="total_other_income_actual" localSheetId="15">'P&amp;L'!#REF!</definedName>
    <definedName name="total_other_income_actual" localSheetId="16">'P&amp;L'!#REF!</definedName>
    <definedName name="total_other_income_actual" localSheetId="1">'P&amp;L'!#REF!</definedName>
    <definedName name="total_other_income_actual">'P&amp;L'!#REF!</definedName>
    <definedName name="total_other_income_variance" localSheetId="15">'P&amp;L'!#REF!</definedName>
    <definedName name="total_other_income_variance" localSheetId="16">'P&amp;L'!#REF!</definedName>
    <definedName name="total_other_income_variance" localSheetId="1">'P&amp;L'!#REF!</definedName>
    <definedName name="total_other_income_variance">'P&amp;L'!#REF!</definedName>
    <definedName name="total_other_operating_expenses" localSheetId="15">'P&amp;L'!#REF!</definedName>
    <definedName name="total_other_operating_expenses" localSheetId="16">'P&amp;L'!#REF!</definedName>
    <definedName name="total_other_operating_expenses" localSheetId="1">'P&amp;L'!#REF!</definedName>
    <definedName name="total_other_operating_expenses" localSheetId="0">'P&amp;L'!#REF!</definedName>
    <definedName name="total_other_operating_expenses">'P&amp;L'!#REF!</definedName>
    <definedName name="total_other_operating_expenses_actual" localSheetId="15">'P&amp;L'!#REF!</definedName>
    <definedName name="total_other_operating_expenses_actual" localSheetId="16">'P&amp;L'!#REF!</definedName>
    <definedName name="total_other_operating_expenses_actual" localSheetId="1">'P&amp;L'!#REF!</definedName>
    <definedName name="total_other_operating_expenses_actual" localSheetId="0">'P&amp;L'!#REF!</definedName>
    <definedName name="total_other_operating_expenses_actual">'P&amp;L'!#REF!</definedName>
    <definedName name="total_other_operating_expenses_variance" localSheetId="15">'P&amp;L'!#REF!</definedName>
    <definedName name="total_other_operating_expenses_variance" localSheetId="16">'P&amp;L'!#REF!</definedName>
    <definedName name="total_other_operating_expenses_variance" localSheetId="1">'P&amp;L'!#REF!</definedName>
    <definedName name="total_other_operating_expenses_variance" localSheetId="0">'P&amp;L'!#REF!</definedName>
    <definedName name="total_other_operating_expenses_variance">'P&amp;L'!#REF!</definedName>
    <definedName name="total_sales_and_marketing_expense" localSheetId="15">'P&amp;L'!#REF!</definedName>
    <definedName name="total_sales_and_marketing_expense" localSheetId="16">'P&amp;L'!#REF!</definedName>
    <definedName name="total_sales_and_marketing_expense" localSheetId="1">'P&amp;L'!#REF!</definedName>
    <definedName name="total_sales_and_marketing_expense" localSheetId="0">'P&amp;L'!#REF!</definedName>
    <definedName name="total_sales_and_marketing_expense">'P&amp;L'!#REF!</definedName>
    <definedName name="total_sales_and_marketing_expense_actual" localSheetId="15">'P&amp;L'!#REF!</definedName>
    <definedName name="total_sales_and_marketing_expense_actual" localSheetId="16">'P&amp;L'!#REF!</definedName>
    <definedName name="total_sales_and_marketing_expense_actual" localSheetId="1">'P&amp;L'!#REF!</definedName>
    <definedName name="total_sales_and_marketing_expense_actual" localSheetId="0">'P&amp;L'!#REF!</definedName>
    <definedName name="total_sales_and_marketing_expense_actual">'P&amp;L'!#REF!</definedName>
    <definedName name="total_sales_and_marketing_expense_variance" localSheetId="15">'P&amp;L'!#REF!</definedName>
    <definedName name="total_sales_and_marketing_expense_variance" localSheetId="16">'P&amp;L'!#REF!</definedName>
    <definedName name="total_sales_and_marketing_expense_variance" localSheetId="1">'P&amp;L'!#REF!</definedName>
    <definedName name="total_sales_and_marketing_expense_variance" localSheetId="0">'P&amp;L'!#REF!</definedName>
    <definedName name="total_sales_and_marketing_expense_variance">'P&amp;L'!#REF!</definedName>
    <definedName name="total_startup_expenses">#REF!</definedName>
    <definedName name="total_unit_sales" localSheetId="15">'Sales and COGS Forecasts'!#REF!</definedName>
    <definedName name="total_unit_sales" localSheetId="16">'Sales and COGS Forecasts'!#REF!</definedName>
    <definedName name="total_unit_sales" localSheetId="1">'Sales and COGS Forecasts (OLD)'!#REF!</definedName>
    <definedName name="total_unit_sales" localSheetId="0">'Sales Forecast (old)'!$A$21:$AG$21</definedName>
    <definedName name="total_unit_sales">'Sales and COGS Forecasts'!#REF!</definedName>
    <definedName name="valuation_earnings_multiple">#REF!</definedName>
    <definedName name="valuation_sales_multiple">#REF!</definedName>
    <definedName name="variable_cost_per_unit_calculated">'Break-even'!$O$17</definedName>
    <definedName name="whole_worksheet">#REF!</definedName>
  </definedNames>
  <calcPr calcId="145621"/>
</workbook>
</file>

<file path=xl/calcChain.xml><?xml version="1.0" encoding="utf-8"?>
<calcChain xmlns="http://schemas.openxmlformats.org/spreadsheetml/2006/main">
  <c r="H9" i="1" l="1"/>
  <c r="AI11" i="5"/>
  <c r="AJ11" i="5" s="1"/>
  <c r="AK11" i="5" s="1"/>
  <c r="AL11" i="5" s="1"/>
  <c r="AM11" i="5" s="1"/>
  <c r="AN11" i="5" s="1"/>
  <c r="AO11" i="5" s="1"/>
  <c r="Z11" i="5"/>
  <c r="I13" i="1" l="1"/>
  <c r="J13" i="1" s="1"/>
  <c r="K13" i="1" s="1"/>
  <c r="L13" i="1" l="1"/>
  <c r="M13" i="1" s="1"/>
  <c r="N13" i="1" s="1"/>
  <c r="O13" i="1" s="1"/>
  <c r="P13" i="1" s="1"/>
  <c r="Q13" i="1" s="1"/>
  <c r="R13" i="1" s="1"/>
  <c r="S13" i="1" s="1"/>
  <c r="B49" i="29" l="1"/>
  <c r="B45" i="32"/>
  <c r="S40" i="1"/>
  <c r="I40" i="1"/>
  <c r="J40" i="1" s="1"/>
  <c r="K40" i="1" s="1"/>
  <c r="L40" i="1" s="1"/>
  <c r="M40" i="1" s="1"/>
  <c r="O40" i="1" s="1"/>
  <c r="P40" i="1" s="1"/>
  <c r="Q40" i="1" s="1"/>
  <c r="D69" i="1"/>
  <c r="AG68" i="1"/>
  <c r="T68" i="1"/>
  <c r="G68" i="1"/>
  <c r="I18" i="1"/>
  <c r="J18" i="1"/>
  <c r="K18" i="1" s="1"/>
  <c r="L18" i="1" s="1"/>
  <c r="M18" i="1" s="1"/>
  <c r="O18" i="1" s="1"/>
  <c r="P18" i="1" s="1"/>
  <c r="Q18" i="1" s="1"/>
  <c r="R18" i="1" s="1"/>
  <c r="S18" i="1" s="1"/>
  <c r="I23" i="1"/>
  <c r="J23" i="1" s="1"/>
  <c r="K23" i="1" s="1"/>
  <c r="L23" i="1" s="1"/>
  <c r="M23" i="1" s="1"/>
  <c r="O23" i="1" s="1"/>
  <c r="P23" i="1" s="1"/>
  <c r="Q23" i="1" s="1"/>
  <c r="R23" i="1" s="1"/>
  <c r="S23" i="1" s="1"/>
  <c r="I9" i="1"/>
  <c r="J9" i="1" s="1"/>
  <c r="L9" i="1" l="1"/>
  <c r="M9" i="1" s="1"/>
  <c r="N9" i="1" s="1"/>
  <c r="O9" i="1" s="1"/>
  <c r="P9" i="1" s="1"/>
  <c r="Q9" i="1" s="1"/>
  <c r="R9" i="1" s="1"/>
  <c r="S9" i="1" s="1"/>
  <c r="K9" i="1"/>
  <c r="E69" i="1"/>
  <c r="H43" i="1"/>
  <c r="F69" i="1" l="1"/>
  <c r="AG102" i="1"/>
  <c r="AG103" i="1"/>
  <c r="AG104" i="1"/>
  <c r="T102" i="1"/>
  <c r="T103" i="1"/>
  <c r="T104" i="1"/>
  <c r="D103" i="1"/>
  <c r="E103" i="1" s="1"/>
  <c r="F103" i="1" s="1"/>
  <c r="G98" i="1"/>
  <c r="D104" i="1"/>
  <c r="D102" i="1"/>
  <c r="D101" i="1"/>
  <c r="D100" i="1"/>
  <c r="T99" i="1"/>
  <c r="AG99" i="1"/>
  <c r="AH99" i="1" s="1"/>
  <c r="AI99" i="1" s="1"/>
  <c r="AJ99" i="1" s="1"/>
  <c r="D99" i="1"/>
  <c r="G99" i="1" s="1"/>
  <c r="G90" i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G58" i="1"/>
  <c r="T58" i="1"/>
  <c r="G58" i="1"/>
  <c r="L60" i="1"/>
  <c r="M60" i="1"/>
  <c r="N60" i="1"/>
  <c r="O60" i="1"/>
  <c r="P60" i="1"/>
  <c r="Q60" i="1"/>
  <c r="R60" i="1"/>
  <c r="S60" i="1"/>
  <c r="U60" i="1"/>
  <c r="V60" i="1"/>
  <c r="W60" i="1"/>
  <c r="X60" i="1"/>
  <c r="Y60" i="1"/>
  <c r="Z60" i="1"/>
  <c r="AA60" i="1"/>
  <c r="AB60" i="1"/>
  <c r="AC60" i="1"/>
  <c r="AD60" i="1"/>
  <c r="AE60" i="1"/>
  <c r="AF60" i="1"/>
  <c r="AH60" i="1"/>
  <c r="AI60" i="1"/>
  <c r="AJ60" i="1"/>
  <c r="D60" i="1"/>
  <c r="E60" i="1"/>
  <c r="F60" i="1"/>
  <c r="C60" i="1"/>
  <c r="AG57" i="1"/>
  <c r="AG55" i="1"/>
  <c r="T55" i="1"/>
  <c r="G55" i="1"/>
  <c r="G56" i="1"/>
  <c r="G57" i="1"/>
  <c r="G59" i="1"/>
  <c r="G54" i="1"/>
  <c r="T57" i="1"/>
  <c r="AG59" i="1"/>
  <c r="I59" i="1"/>
  <c r="I60" i="1" s="1"/>
  <c r="J59" i="1"/>
  <c r="J60" i="1" s="1"/>
  <c r="K59" i="1"/>
  <c r="K60" i="1" s="1"/>
  <c r="H59" i="1"/>
  <c r="H60" i="1" s="1"/>
  <c r="D63" i="1"/>
  <c r="E63" i="1" s="1"/>
  <c r="C89" i="1"/>
  <c r="D89" i="1" s="1"/>
  <c r="D93" i="1" s="1"/>
  <c r="D83" i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D84" i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D85" i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D87" i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AO87" i="1" s="1"/>
  <c r="D88" i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W88" i="1" s="1"/>
  <c r="X88" i="1" s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AN88" i="1" s="1"/>
  <c r="AO88" i="1" s="1"/>
  <c r="D82" i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I163" i="1"/>
  <c r="U163" i="1"/>
  <c r="C20" i="16"/>
  <c r="D20" i="16" s="1"/>
  <c r="I181" i="1"/>
  <c r="J181" i="1"/>
  <c r="K181" i="1"/>
  <c r="L181" i="1"/>
  <c r="M181" i="1"/>
  <c r="N181" i="1"/>
  <c r="O181" i="1"/>
  <c r="P181" i="1"/>
  <c r="Q181" i="1"/>
  <c r="R181" i="1"/>
  <c r="S181" i="1"/>
  <c r="H181" i="1"/>
  <c r="I177" i="1"/>
  <c r="J177" i="1"/>
  <c r="K177" i="1"/>
  <c r="L177" i="1"/>
  <c r="M177" i="1"/>
  <c r="N177" i="1"/>
  <c r="O177" i="1"/>
  <c r="P177" i="1"/>
  <c r="Q177" i="1"/>
  <c r="R177" i="1"/>
  <c r="S177" i="1"/>
  <c r="H177" i="1"/>
  <c r="I22" i="7"/>
  <c r="C26" i="16"/>
  <c r="D26" i="16" s="1"/>
  <c r="E26" i="16" s="1"/>
  <c r="F26" i="16" s="1"/>
  <c r="G26" i="16" s="1"/>
  <c r="H26" i="16" s="1"/>
  <c r="C23" i="16"/>
  <c r="D23" i="16" s="1"/>
  <c r="G20" i="11"/>
  <c r="G21" i="11"/>
  <c r="G22" i="11"/>
  <c r="G23" i="11"/>
  <c r="G19" i="11"/>
  <c r="C29" i="11"/>
  <c r="G29" i="11" s="1"/>
  <c r="AH35" i="7"/>
  <c r="AH13" i="5"/>
  <c r="AH19" i="5"/>
  <c r="AH38" i="5"/>
  <c r="AH40" i="5" s="1"/>
  <c r="AH44" i="5"/>
  <c r="AH46" i="5" s="1"/>
  <c r="AH67" i="5"/>
  <c r="AH73" i="5"/>
  <c r="AH195" i="5"/>
  <c r="AH222" i="5" s="1"/>
  <c r="AH454" i="5"/>
  <c r="AH435" i="5" s="1"/>
  <c r="AH459" i="5"/>
  <c r="AH460" i="5"/>
  <c r="V35" i="7"/>
  <c r="U35" i="7"/>
  <c r="N22" i="7"/>
  <c r="O22" i="7"/>
  <c r="P22" i="7"/>
  <c r="Q22" i="7"/>
  <c r="R22" i="7"/>
  <c r="S22" i="7"/>
  <c r="I34" i="7"/>
  <c r="J34" i="7"/>
  <c r="K34" i="7"/>
  <c r="L34" i="7"/>
  <c r="M34" i="7"/>
  <c r="N34" i="7"/>
  <c r="O34" i="7"/>
  <c r="P34" i="7"/>
  <c r="Q34" i="7"/>
  <c r="R34" i="7"/>
  <c r="S34" i="7"/>
  <c r="G7" i="7"/>
  <c r="D23" i="7"/>
  <c r="E23" i="7"/>
  <c r="F23" i="7"/>
  <c r="D24" i="7"/>
  <c r="E24" i="7"/>
  <c r="F24" i="7"/>
  <c r="D29" i="7"/>
  <c r="E29" i="7"/>
  <c r="F29" i="7"/>
  <c r="D30" i="7"/>
  <c r="E30" i="7"/>
  <c r="F30" i="7"/>
  <c r="D32" i="7"/>
  <c r="E32" i="7"/>
  <c r="F32" i="7"/>
  <c r="D33" i="7"/>
  <c r="E33" i="7"/>
  <c r="F33" i="7"/>
  <c r="D34" i="7"/>
  <c r="E34" i="7"/>
  <c r="F34" i="7"/>
  <c r="D35" i="7"/>
  <c r="E35" i="7"/>
  <c r="F35" i="7"/>
  <c r="C35" i="7"/>
  <c r="C34" i="7"/>
  <c r="C33" i="7"/>
  <c r="C32" i="7"/>
  <c r="C30" i="7"/>
  <c r="C29" i="7"/>
  <c r="C24" i="7"/>
  <c r="C23" i="7"/>
  <c r="H34" i="7"/>
  <c r="H22" i="7"/>
  <c r="D466" i="5"/>
  <c r="F466" i="5" s="1"/>
  <c r="H466" i="5" s="1"/>
  <c r="J466" i="5" s="1"/>
  <c r="L466" i="5" s="1"/>
  <c r="N466" i="5" s="1"/>
  <c r="P466" i="5" s="1"/>
  <c r="R466" i="5" s="1"/>
  <c r="T466" i="5" s="1"/>
  <c r="V466" i="5" s="1"/>
  <c r="E466" i="5"/>
  <c r="G466" i="5" s="1"/>
  <c r="I466" i="5" s="1"/>
  <c r="K466" i="5" s="1"/>
  <c r="M466" i="5" s="1"/>
  <c r="O466" i="5" s="1"/>
  <c r="Q466" i="5" s="1"/>
  <c r="S466" i="5" s="1"/>
  <c r="U466" i="5" s="1"/>
  <c r="D454" i="5"/>
  <c r="D435" i="5" s="1"/>
  <c r="E454" i="5"/>
  <c r="E435" i="5" s="1"/>
  <c r="F454" i="5"/>
  <c r="F435" i="5" s="1"/>
  <c r="G454" i="5"/>
  <c r="G435" i="5" s="1"/>
  <c r="C454" i="5"/>
  <c r="C435" i="5" s="1"/>
  <c r="D460" i="5"/>
  <c r="E460" i="5"/>
  <c r="F460" i="5"/>
  <c r="C460" i="5"/>
  <c r="I460" i="5"/>
  <c r="J460" i="5"/>
  <c r="K460" i="5"/>
  <c r="L460" i="5"/>
  <c r="M460" i="5"/>
  <c r="N460" i="5"/>
  <c r="O460" i="5"/>
  <c r="P460" i="5"/>
  <c r="Q460" i="5"/>
  <c r="R460" i="5"/>
  <c r="S460" i="5"/>
  <c r="H460" i="5"/>
  <c r="D462" i="5"/>
  <c r="E462" i="5" s="1"/>
  <c r="F462" i="5" s="1"/>
  <c r="D455" i="5"/>
  <c r="E455" i="5" s="1"/>
  <c r="F455" i="5" s="1"/>
  <c r="H455" i="5" s="1"/>
  <c r="J455" i="5" s="1"/>
  <c r="L455" i="5" s="1"/>
  <c r="N455" i="5" s="1"/>
  <c r="P455" i="5" s="1"/>
  <c r="D413" i="5"/>
  <c r="E413" i="5" s="1"/>
  <c r="D386" i="5"/>
  <c r="E386" i="5" s="1"/>
  <c r="D359" i="5"/>
  <c r="E359" i="5" s="1"/>
  <c r="D332" i="5"/>
  <c r="E332" i="5" s="1"/>
  <c r="F332" i="5" s="1"/>
  <c r="H332" i="5" s="1"/>
  <c r="I332" i="5" s="1"/>
  <c r="J332" i="5" s="1"/>
  <c r="D305" i="5"/>
  <c r="E305" i="5" s="1"/>
  <c r="F305" i="5" s="1"/>
  <c r="H305" i="5" s="1"/>
  <c r="I305" i="5" s="1"/>
  <c r="J305" i="5" s="1"/>
  <c r="D278" i="5"/>
  <c r="E278" i="5" s="1"/>
  <c r="D8" i="5"/>
  <c r="E8" i="5" s="1"/>
  <c r="F8" i="5" s="1"/>
  <c r="H8" i="5" s="1"/>
  <c r="D35" i="5"/>
  <c r="E35" i="5" s="1"/>
  <c r="F35" i="5" s="1"/>
  <c r="H35" i="5" s="1"/>
  <c r="I35" i="5" s="1"/>
  <c r="J35" i="5" s="1"/>
  <c r="D62" i="5"/>
  <c r="E62" i="5" s="1"/>
  <c r="F62" i="5" s="1"/>
  <c r="H62" i="5" s="1"/>
  <c r="I62" i="5" s="1"/>
  <c r="D89" i="5"/>
  <c r="E89" i="5" s="1"/>
  <c r="F89" i="5" s="1"/>
  <c r="H89" i="5" s="1"/>
  <c r="I89" i="5" s="1"/>
  <c r="J89" i="5" s="1"/>
  <c r="K89" i="5" s="1"/>
  <c r="D116" i="5"/>
  <c r="E116" i="5" s="1"/>
  <c r="F116" i="5" s="1"/>
  <c r="H116" i="5" s="1"/>
  <c r="I116" i="5" s="1"/>
  <c r="D143" i="5"/>
  <c r="E143" i="5" s="1"/>
  <c r="F143" i="5" s="1"/>
  <c r="H143" i="5" s="1"/>
  <c r="I143" i="5" s="1"/>
  <c r="J143" i="5" s="1"/>
  <c r="D170" i="5"/>
  <c r="E170" i="5" s="1"/>
  <c r="F170" i="5" s="1"/>
  <c r="H170" i="5" s="1"/>
  <c r="I170" i="5" s="1"/>
  <c r="D197" i="5"/>
  <c r="E197" i="5" s="1"/>
  <c r="F197" i="5" s="1"/>
  <c r="H197" i="5" s="1"/>
  <c r="I197" i="5" s="1"/>
  <c r="J197" i="5" s="1"/>
  <c r="D224" i="5"/>
  <c r="D230" i="5" s="1"/>
  <c r="D251" i="5"/>
  <c r="E251" i="5" s="1"/>
  <c r="F251" i="5" s="1"/>
  <c r="H251" i="5" s="1"/>
  <c r="I251" i="5" s="1"/>
  <c r="C230" i="5"/>
  <c r="C425" i="5"/>
  <c r="M424" i="5"/>
  <c r="L424" i="5"/>
  <c r="K424" i="5"/>
  <c r="J424" i="5"/>
  <c r="I424" i="5"/>
  <c r="H424" i="5"/>
  <c r="F424" i="5"/>
  <c r="E424" i="5"/>
  <c r="D424" i="5"/>
  <c r="C424" i="5"/>
  <c r="G423" i="5"/>
  <c r="G422" i="5"/>
  <c r="C419" i="5"/>
  <c r="M418" i="5"/>
  <c r="L418" i="5"/>
  <c r="K418" i="5"/>
  <c r="J418" i="5"/>
  <c r="I418" i="5"/>
  <c r="H418" i="5"/>
  <c r="F418" i="5"/>
  <c r="E418" i="5"/>
  <c r="D418" i="5"/>
  <c r="C418" i="5"/>
  <c r="C420" i="5" s="1"/>
  <c r="G417" i="5"/>
  <c r="G416" i="5"/>
  <c r="M409" i="5"/>
  <c r="L409" i="5"/>
  <c r="K409" i="5"/>
  <c r="J409" i="5"/>
  <c r="I409" i="5"/>
  <c r="H409" i="5"/>
  <c r="F409" i="5"/>
  <c r="E409" i="5"/>
  <c r="D409" i="5"/>
  <c r="C409" i="5"/>
  <c r="D398" i="5"/>
  <c r="C398" i="5"/>
  <c r="M397" i="5"/>
  <c r="L397" i="5"/>
  <c r="K397" i="5"/>
  <c r="J397" i="5"/>
  <c r="I397" i="5"/>
  <c r="H397" i="5"/>
  <c r="F397" i="5"/>
  <c r="E397" i="5"/>
  <c r="D397" i="5"/>
  <c r="D399" i="5" s="1"/>
  <c r="C397" i="5"/>
  <c r="C399" i="5" s="1"/>
  <c r="G396" i="5"/>
  <c r="G395" i="5"/>
  <c r="D392" i="5"/>
  <c r="C392" i="5"/>
  <c r="M391" i="5"/>
  <c r="L391" i="5"/>
  <c r="K391" i="5"/>
  <c r="J391" i="5"/>
  <c r="I391" i="5"/>
  <c r="H391" i="5"/>
  <c r="F391" i="5"/>
  <c r="E391" i="5"/>
  <c r="D391" i="5"/>
  <c r="D393" i="5" s="1"/>
  <c r="C391" i="5"/>
  <c r="G390" i="5"/>
  <c r="G389" i="5"/>
  <c r="M382" i="5"/>
  <c r="L382" i="5"/>
  <c r="K382" i="5"/>
  <c r="J382" i="5"/>
  <c r="I382" i="5"/>
  <c r="H382" i="5"/>
  <c r="F382" i="5"/>
  <c r="E382" i="5"/>
  <c r="D382" i="5"/>
  <c r="C382" i="5"/>
  <c r="C371" i="5"/>
  <c r="M370" i="5"/>
  <c r="L370" i="5"/>
  <c r="K370" i="5"/>
  <c r="J370" i="5"/>
  <c r="I370" i="5"/>
  <c r="H370" i="5"/>
  <c r="F370" i="5"/>
  <c r="E370" i="5"/>
  <c r="D370" i="5"/>
  <c r="C370" i="5"/>
  <c r="G369" i="5"/>
  <c r="G368" i="5"/>
  <c r="C365" i="5"/>
  <c r="M364" i="5"/>
  <c r="L364" i="5"/>
  <c r="K364" i="5"/>
  <c r="J364" i="5"/>
  <c r="I364" i="5"/>
  <c r="H364" i="5"/>
  <c r="F364" i="5"/>
  <c r="E364" i="5"/>
  <c r="D364" i="5"/>
  <c r="C364" i="5"/>
  <c r="C366" i="5" s="1"/>
  <c r="G363" i="5"/>
  <c r="G362" i="5"/>
  <c r="M355" i="5"/>
  <c r="L355" i="5"/>
  <c r="K355" i="5"/>
  <c r="J355" i="5"/>
  <c r="I355" i="5"/>
  <c r="H355" i="5"/>
  <c r="F355" i="5"/>
  <c r="E355" i="5"/>
  <c r="D355" i="5"/>
  <c r="C355" i="5"/>
  <c r="I344" i="5"/>
  <c r="H344" i="5"/>
  <c r="E344" i="5"/>
  <c r="D344" i="5"/>
  <c r="C344" i="5"/>
  <c r="M343" i="5"/>
  <c r="L343" i="5"/>
  <c r="K343" i="5"/>
  <c r="J343" i="5"/>
  <c r="I343" i="5"/>
  <c r="I345" i="5" s="1"/>
  <c r="H343" i="5"/>
  <c r="F343" i="5"/>
  <c r="E343" i="5"/>
  <c r="E345" i="5" s="1"/>
  <c r="D343" i="5"/>
  <c r="C343" i="5"/>
  <c r="C345" i="5" s="1"/>
  <c r="G342" i="5"/>
  <c r="G341" i="5"/>
  <c r="I338" i="5"/>
  <c r="H338" i="5"/>
  <c r="E338" i="5"/>
  <c r="D338" i="5"/>
  <c r="C338" i="5"/>
  <c r="M337" i="5"/>
  <c r="L337" i="5"/>
  <c r="K337" i="5"/>
  <c r="J337" i="5"/>
  <c r="I337" i="5"/>
  <c r="H337" i="5"/>
  <c r="H339" i="5" s="1"/>
  <c r="F337" i="5"/>
  <c r="E337" i="5"/>
  <c r="D337" i="5"/>
  <c r="D339" i="5" s="1"/>
  <c r="C337" i="5"/>
  <c r="C339" i="5" s="1"/>
  <c r="G336" i="5"/>
  <c r="G335" i="5"/>
  <c r="M328" i="5"/>
  <c r="L328" i="5"/>
  <c r="K328" i="5"/>
  <c r="J328" i="5"/>
  <c r="I328" i="5"/>
  <c r="H328" i="5"/>
  <c r="F328" i="5"/>
  <c r="E328" i="5"/>
  <c r="D328" i="5"/>
  <c r="C328" i="5"/>
  <c r="H317" i="5"/>
  <c r="D317" i="5"/>
  <c r="C317" i="5"/>
  <c r="M316" i="5"/>
  <c r="L316" i="5"/>
  <c r="K316" i="5"/>
  <c r="J316" i="5"/>
  <c r="I316" i="5"/>
  <c r="H316" i="5"/>
  <c r="F316" i="5"/>
  <c r="E316" i="5"/>
  <c r="D316" i="5"/>
  <c r="C316" i="5"/>
  <c r="C318" i="5" s="1"/>
  <c r="G315" i="5"/>
  <c r="G314" i="5"/>
  <c r="I311" i="5"/>
  <c r="E311" i="5"/>
  <c r="C311" i="5"/>
  <c r="M310" i="5"/>
  <c r="L310" i="5"/>
  <c r="K310" i="5"/>
  <c r="J310" i="5"/>
  <c r="I310" i="5"/>
  <c r="H310" i="5"/>
  <c r="F310" i="5"/>
  <c r="E310" i="5"/>
  <c r="D310" i="5"/>
  <c r="C310" i="5"/>
  <c r="C312" i="5" s="1"/>
  <c r="G309" i="5"/>
  <c r="G308" i="5"/>
  <c r="M301" i="5"/>
  <c r="L301" i="5"/>
  <c r="K301" i="5"/>
  <c r="J301" i="5"/>
  <c r="I301" i="5"/>
  <c r="H301" i="5"/>
  <c r="F301" i="5"/>
  <c r="E301" i="5"/>
  <c r="D301" i="5"/>
  <c r="C301" i="5"/>
  <c r="C290" i="5"/>
  <c r="M289" i="5"/>
  <c r="L289" i="5"/>
  <c r="K289" i="5"/>
  <c r="J289" i="5"/>
  <c r="I289" i="5"/>
  <c r="H289" i="5"/>
  <c r="F289" i="5"/>
  <c r="E289" i="5"/>
  <c r="D289" i="5"/>
  <c r="C289" i="5"/>
  <c r="C291" i="5" s="1"/>
  <c r="G288" i="5"/>
  <c r="G287" i="5"/>
  <c r="D284" i="5"/>
  <c r="C284" i="5"/>
  <c r="M283" i="5"/>
  <c r="L283" i="5"/>
  <c r="K283" i="5"/>
  <c r="J283" i="5"/>
  <c r="I283" i="5"/>
  <c r="H283" i="5"/>
  <c r="F283" i="5"/>
  <c r="E283" i="5"/>
  <c r="D283" i="5"/>
  <c r="D285" i="5" s="1"/>
  <c r="C283" i="5"/>
  <c r="C285" i="5" s="1"/>
  <c r="G282" i="5"/>
  <c r="G281" i="5"/>
  <c r="M274" i="5"/>
  <c r="L274" i="5"/>
  <c r="K274" i="5"/>
  <c r="J274" i="5"/>
  <c r="I274" i="5"/>
  <c r="H274" i="5"/>
  <c r="F274" i="5"/>
  <c r="E274" i="5"/>
  <c r="D274" i="5"/>
  <c r="C274" i="5"/>
  <c r="H263" i="5"/>
  <c r="E263" i="5"/>
  <c r="D263" i="5"/>
  <c r="C263" i="5"/>
  <c r="M262" i="5"/>
  <c r="L262" i="5"/>
  <c r="K262" i="5"/>
  <c r="J262" i="5"/>
  <c r="I262" i="5"/>
  <c r="H262" i="5"/>
  <c r="F262" i="5"/>
  <c r="E262" i="5"/>
  <c r="E264" i="5" s="1"/>
  <c r="D262" i="5"/>
  <c r="C262" i="5"/>
  <c r="C264" i="5" s="1"/>
  <c r="G261" i="5"/>
  <c r="G260" i="5"/>
  <c r="H257" i="5"/>
  <c r="E257" i="5"/>
  <c r="D257" i="5"/>
  <c r="C257" i="5"/>
  <c r="M256" i="5"/>
  <c r="L256" i="5"/>
  <c r="K256" i="5"/>
  <c r="J256" i="5"/>
  <c r="I256" i="5"/>
  <c r="H256" i="5"/>
  <c r="F256" i="5"/>
  <c r="E256" i="5"/>
  <c r="E258" i="5" s="1"/>
  <c r="D256" i="5"/>
  <c r="C256" i="5"/>
  <c r="C258" i="5" s="1"/>
  <c r="G255" i="5"/>
  <c r="G254" i="5"/>
  <c r="M247" i="5"/>
  <c r="L247" i="5"/>
  <c r="K247" i="5"/>
  <c r="J247" i="5"/>
  <c r="I247" i="5"/>
  <c r="H247" i="5"/>
  <c r="F247" i="5"/>
  <c r="E247" i="5"/>
  <c r="D247" i="5"/>
  <c r="C247" i="5"/>
  <c r="D236" i="5"/>
  <c r="C236" i="5"/>
  <c r="M235" i="5"/>
  <c r="L235" i="5"/>
  <c r="K235" i="5"/>
  <c r="J235" i="5"/>
  <c r="I235" i="5"/>
  <c r="H235" i="5"/>
  <c r="F235" i="5"/>
  <c r="E235" i="5"/>
  <c r="D235" i="5"/>
  <c r="C235" i="5"/>
  <c r="C237" i="5" s="1"/>
  <c r="G234" i="5"/>
  <c r="G233" i="5"/>
  <c r="M229" i="5"/>
  <c r="L229" i="5"/>
  <c r="K229" i="5"/>
  <c r="J229" i="5"/>
  <c r="I229" i="5"/>
  <c r="H229" i="5"/>
  <c r="F229" i="5"/>
  <c r="E229" i="5"/>
  <c r="D229" i="5"/>
  <c r="C229" i="5"/>
  <c r="G228" i="5"/>
  <c r="G227" i="5"/>
  <c r="M220" i="5"/>
  <c r="L220" i="5"/>
  <c r="K220" i="5"/>
  <c r="J220" i="5"/>
  <c r="I220" i="5"/>
  <c r="H220" i="5"/>
  <c r="F220" i="5"/>
  <c r="E220" i="5"/>
  <c r="D220" i="5"/>
  <c r="C220" i="5"/>
  <c r="I209" i="5"/>
  <c r="H209" i="5"/>
  <c r="E209" i="5"/>
  <c r="D209" i="5"/>
  <c r="C209" i="5"/>
  <c r="M208" i="5"/>
  <c r="L208" i="5"/>
  <c r="K208" i="5"/>
  <c r="J208" i="5"/>
  <c r="I208" i="5"/>
  <c r="H208" i="5"/>
  <c r="H210" i="5" s="1"/>
  <c r="F208" i="5"/>
  <c r="E208" i="5"/>
  <c r="E210" i="5" s="1"/>
  <c r="D208" i="5"/>
  <c r="D210" i="5" s="1"/>
  <c r="C208" i="5"/>
  <c r="C210" i="5" s="1"/>
  <c r="G207" i="5"/>
  <c r="G206" i="5"/>
  <c r="I203" i="5"/>
  <c r="H203" i="5"/>
  <c r="E203" i="5"/>
  <c r="D203" i="5"/>
  <c r="C203" i="5"/>
  <c r="M202" i="5"/>
  <c r="L202" i="5"/>
  <c r="K202" i="5"/>
  <c r="J202" i="5"/>
  <c r="I202" i="5"/>
  <c r="H202" i="5"/>
  <c r="F202" i="5"/>
  <c r="E202" i="5"/>
  <c r="E204" i="5" s="1"/>
  <c r="D202" i="5"/>
  <c r="D204" i="5" s="1"/>
  <c r="C202" i="5"/>
  <c r="C204" i="5" s="1"/>
  <c r="G201" i="5"/>
  <c r="G200" i="5"/>
  <c r="M193" i="5"/>
  <c r="L193" i="5"/>
  <c r="K193" i="5"/>
  <c r="J193" i="5"/>
  <c r="I193" i="5"/>
  <c r="H193" i="5"/>
  <c r="F193" i="5"/>
  <c r="E193" i="5"/>
  <c r="D193" i="5"/>
  <c r="C193" i="5"/>
  <c r="H182" i="5"/>
  <c r="D182" i="5"/>
  <c r="C182" i="5"/>
  <c r="M181" i="5"/>
  <c r="L181" i="5"/>
  <c r="K181" i="5"/>
  <c r="J181" i="5"/>
  <c r="I181" i="5"/>
  <c r="H181" i="5"/>
  <c r="F181" i="5"/>
  <c r="E181" i="5"/>
  <c r="D181" i="5"/>
  <c r="D183" i="5" s="1"/>
  <c r="C181" i="5"/>
  <c r="C183" i="5" s="1"/>
  <c r="G180" i="5"/>
  <c r="G179" i="5"/>
  <c r="H176" i="5"/>
  <c r="D176" i="5"/>
  <c r="C176" i="5"/>
  <c r="M175" i="5"/>
  <c r="L175" i="5"/>
  <c r="K175" i="5"/>
  <c r="J175" i="5"/>
  <c r="I175" i="5"/>
  <c r="H175" i="5"/>
  <c r="F175" i="5"/>
  <c r="E175" i="5"/>
  <c r="D175" i="5"/>
  <c r="D177" i="5" s="1"/>
  <c r="C175" i="5"/>
  <c r="C177" i="5" s="1"/>
  <c r="G174" i="5"/>
  <c r="G173" i="5"/>
  <c r="M166" i="5"/>
  <c r="L166" i="5"/>
  <c r="K166" i="5"/>
  <c r="J166" i="5"/>
  <c r="I166" i="5"/>
  <c r="H166" i="5"/>
  <c r="F166" i="5"/>
  <c r="E166" i="5"/>
  <c r="D166" i="5"/>
  <c r="C166" i="5"/>
  <c r="I155" i="5"/>
  <c r="H155" i="5"/>
  <c r="E155" i="5"/>
  <c r="D155" i="5"/>
  <c r="C155" i="5"/>
  <c r="M154" i="5"/>
  <c r="L154" i="5"/>
  <c r="K154" i="5"/>
  <c r="J154" i="5"/>
  <c r="I154" i="5"/>
  <c r="H154" i="5"/>
  <c r="H156" i="5" s="1"/>
  <c r="F154" i="5"/>
  <c r="E154" i="5"/>
  <c r="E156" i="5" s="1"/>
  <c r="D154" i="5"/>
  <c r="D156" i="5" s="1"/>
  <c r="C154" i="5"/>
  <c r="C156" i="5" s="1"/>
  <c r="G153" i="5"/>
  <c r="G152" i="5"/>
  <c r="I149" i="5"/>
  <c r="H149" i="5"/>
  <c r="E149" i="5"/>
  <c r="D149" i="5"/>
  <c r="C149" i="5"/>
  <c r="M148" i="5"/>
  <c r="L148" i="5"/>
  <c r="K148" i="5"/>
  <c r="J148" i="5"/>
  <c r="I148" i="5"/>
  <c r="I150" i="5" s="1"/>
  <c r="H148" i="5"/>
  <c r="F148" i="5"/>
  <c r="E148" i="5"/>
  <c r="E150" i="5" s="1"/>
  <c r="D148" i="5"/>
  <c r="D150" i="5" s="1"/>
  <c r="C148" i="5"/>
  <c r="C150" i="5" s="1"/>
  <c r="G147" i="5"/>
  <c r="G146" i="5"/>
  <c r="M139" i="5"/>
  <c r="L139" i="5"/>
  <c r="K139" i="5"/>
  <c r="J139" i="5"/>
  <c r="I139" i="5"/>
  <c r="H139" i="5"/>
  <c r="F139" i="5"/>
  <c r="E139" i="5"/>
  <c r="D139" i="5"/>
  <c r="C139" i="5"/>
  <c r="H122" i="5"/>
  <c r="E128" i="5"/>
  <c r="C128" i="5"/>
  <c r="M127" i="5"/>
  <c r="L127" i="5"/>
  <c r="K127" i="5"/>
  <c r="J127" i="5"/>
  <c r="I127" i="5"/>
  <c r="H127" i="5"/>
  <c r="F127" i="5"/>
  <c r="E127" i="5"/>
  <c r="E129" i="5" s="1"/>
  <c r="D127" i="5"/>
  <c r="C127" i="5"/>
  <c r="C129" i="5" s="1"/>
  <c r="G126" i="5"/>
  <c r="G125" i="5"/>
  <c r="D122" i="5"/>
  <c r="C122" i="5"/>
  <c r="M121" i="5"/>
  <c r="L121" i="5"/>
  <c r="K121" i="5"/>
  <c r="J121" i="5"/>
  <c r="I121" i="5"/>
  <c r="H121" i="5"/>
  <c r="F121" i="5"/>
  <c r="E121" i="5"/>
  <c r="D121" i="5"/>
  <c r="D123" i="5" s="1"/>
  <c r="C121" i="5"/>
  <c r="C123" i="5" s="1"/>
  <c r="G120" i="5"/>
  <c r="G119" i="5"/>
  <c r="M112" i="5"/>
  <c r="L112" i="5"/>
  <c r="K112" i="5"/>
  <c r="J112" i="5"/>
  <c r="I112" i="5"/>
  <c r="H112" i="5"/>
  <c r="F112" i="5"/>
  <c r="E112" i="5"/>
  <c r="D112" i="5"/>
  <c r="C112" i="5"/>
  <c r="G99" i="5"/>
  <c r="G98" i="5"/>
  <c r="G93" i="5"/>
  <c r="G92" i="5"/>
  <c r="E101" i="5"/>
  <c r="D101" i="5"/>
  <c r="F100" i="5"/>
  <c r="D100" i="5"/>
  <c r="D102" i="5" s="1"/>
  <c r="E100" i="5"/>
  <c r="E102" i="5" s="1"/>
  <c r="E95" i="5"/>
  <c r="D95" i="5"/>
  <c r="F94" i="5"/>
  <c r="D94" i="5"/>
  <c r="D96" i="5" s="1"/>
  <c r="E94" i="5"/>
  <c r="E96" i="5" s="1"/>
  <c r="F85" i="5"/>
  <c r="E85" i="5"/>
  <c r="D85" i="5"/>
  <c r="C85" i="5"/>
  <c r="C106" i="5"/>
  <c r="C187" i="5" s="1"/>
  <c r="C268" i="5" s="1"/>
  <c r="C349" i="5" s="1"/>
  <c r="C430" i="5" s="1"/>
  <c r="C101" i="5"/>
  <c r="C100" i="5"/>
  <c r="C95" i="5"/>
  <c r="C94" i="5"/>
  <c r="C96" i="5" s="1"/>
  <c r="I101" i="5"/>
  <c r="L100" i="5"/>
  <c r="J100" i="5"/>
  <c r="M100" i="5"/>
  <c r="K100" i="5"/>
  <c r="I100" i="5"/>
  <c r="I102" i="5" s="1"/>
  <c r="I95" i="5"/>
  <c r="L94" i="5"/>
  <c r="J94" i="5"/>
  <c r="M94" i="5"/>
  <c r="K94" i="5"/>
  <c r="I94" i="5"/>
  <c r="I96" i="5" s="1"/>
  <c r="M85" i="5"/>
  <c r="L85" i="5"/>
  <c r="K85" i="5"/>
  <c r="J85" i="5"/>
  <c r="I85" i="5"/>
  <c r="H101" i="5"/>
  <c r="H100" i="5"/>
  <c r="H95" i="5"/>
  <c r="H94" i="5"/>
  <c r="H85" i="5"/>
  <c r="G72" i="5"/>
  <c r="G71" i="5"/>
  <c r="G66" i="5"/>
  <c r="G65" i="5"/>
  <c r="D74" i="5"/>
  <c r="F73" i="5"/>
  <c r="E73" i="5"/>
  <c r="D73" i="5"/>
  <c r="E68" i="5"/>
  <c r="F67" i="5"/>
  <c r="E67" i="5"/>
  <c r="D67" i="5"/>
  <c r="F60" i="5"/>
  <c r="F87" i="5" s="1"/>
  <c r="E60" i="5"/>
  <c r="E87" i="5" s="1"/>
  <c r="E114" i="5" s="1"/>
  <c r="E141" i="5" s="1"/>
  <c r="E168" i="5" s="1"/>
  <c r="E195" i="5" s="1"/>
  <c r="E222" i="5" s="1"/>
  <c r="E249" i="5" s="1"/>
  <c r="E276" i="5" s="1"/>
  <c r="E303" i="5" s="1"/>
  <c r="E330" i="5" s="1"/>
  <c r="E357" i="5" s="1"/>
  <c r="E384" i="5" s="1"/>
  <c r="E411" i="5" s="1"/>
  <c r="D60" i="5"/>
  <c r="D87" i="5" s="1"/>
  <c r="D114" i="5" s="1"/>
  <c r="D141" i="5" s="1"/>
  <c r="D168" i="5" s="1"/>
  <c r="D195" i="5" s="1"/>
  <c r="D222" i="5" s="1"/>
  <c r="D249" i="5" s="1"/>
  <c r="D276" i="5" s="1"/>
  <c r="D303" i="5" s="1"/>
  <c r="D330" i="5" s="1"/>
  <c r="D357" i="5" s="1"/>
  <c r="D384" i="5" s="1"/>
  <c r="D411" i="5" s="1"/>
  <c r="F58" i="5"/>
  <c r="F61" i="5" s="1"/>
  <c r="E58" i="5"/>
  <c r="D58" i="5"/>
  <c r="D61" i="5" s="1"/>
  <c r="D63" i="5" s="1"/>
  <c r="C58" i="5"/>
  <c r="C79" i="5"/>
  <c r="C160" i="5" s="1"/>
  <c r="C241" i="5" s="1"/>
  <c r="C322" i="5" s="1"/>
  <c r="C403" i="5" s="1"/>
  <c r="C74" i="5"/>
  <c r="C73" i="5"/>
  <c r="C75" i="5" s="1"/>
  <c r="C68" i="5"/>
  <c r="C67" i="5"/>
  <c r="C69" i="5" s="1"/>
  <c r="C60" i="5"/>
  <c r="C87" i="5" s="1"/>
  <c r="C114" i="5" s="1"/>
  <c r="C141" i="5" s="1"/>
  <c r="C168" i="5" s="1"/>
  <c r="C195" i="5" s="1"/>
  <c r="C222" i="5" s="1"/>
  <c r="C249" i="5" s="1"/>
  <c r="C276" i="5" s="1"/>
  <c r="C303" i="5" s="1"/>
  <c r="C330" i="5" s="1"/>
  <c r="C357" i="5" s="1"/>
  <c r="C384" i="5" s="1"/>
  <c r="C411" i="5" s="1"/>
  <c r="C61" i="5"/>
  <c r="C63" i="5" s="1"/>
  <c r="C77" i="5" s="1"/>
  <c r="C81" i="5" s="1"/>
  <c r="C438" i="5" s="1"/>
  <c r="M73" i="5"/>
  <c r="L73" i="5"/>
  <c r="K73" i="5"/>
  <c r="J73" i="5"/>
  <c r="I73" i="5"/>
  <c r="M67" i="5"/>
  <c r="L67" i="5"/>
  <c r="K67" i="5"/>
  <c r="J67" i="5"/>
  <c r="I67" i="5"/>
  <c r="M60" i="5"/>
  <c r="M87" i="5" s="1"/>
  <c r="M114" i="5" s="1"/>
  <c r="M141" i="5" s="1"/>
  <c r="M168" i="5" s="1"/>
  <c r="M195" i="5" s="1"/>
  <c r="M222" i="5" s="1"/>
  <c r="M249" i="5" s="1"/>
  <c r="M276" i="5" s="1"/>
  <c r="M303" i="5" s="1"/>
  <c r="M330" i="5" s="1"/>
  <c r="M357" i="5" s="1"/>
  <c r="M384" i="5" s="1"/>
  <c r="M411" i="5" s="1"/>
  <c r="L60" i="5"/>
  <c r="L87" i="5" s="1"/>
  <c r="L114" i="5" s="1"/>
  <c r="L141" i="5" s="1"/>
  <c r="L168" i="5" s="1"/>
  <c r="L195" i="5" s="1"/>
  <c r="L222" i="5" s="1"/>
  <c r="L249" i="5" s="1"/>
  <c r="L276" i="5" s="1"/>
  <c r="L303" i="5" s="1"/>
  <c r="L330" i="5" s="1"/>
  <c r="L357" i="5" s="1"/>
  <c r="L384" i="5" s="1"/>
  <c r="L411" i="5" s="1"/>
  <c r="K60" i="5"/>
  <c r="K87" i="5" s="1"/>
  <c r="K114" i="5" s="1"/>
  <c r="K141" i="5" s="1"/>
  <c r="K168" i="5" s="1"/>
  <c r="K195" i="5" s="1"/>
  <c r="K222" i="5" s="1"/>
  <c r="K249" i="5" s="1"/>
  <c r="K276" i="5" s="1"/>
  <c r="K303" i="5" s="1"/>
  <c r="K330" i="5" s="1"/>
  <c r="K357" i="5" s="1"/>
  <c r="K384" i="5" s="1"/>
  <c r="K411" i="5" s="1"/>
  <c r="J60" i="5"/>
  <c r="J87" i="5" s="1"/>
  <c r="J114" i="5" s="1"/>
  <c r="J141" i="5" s="1"/>
  <c r="J168" i="5" s="1"/>
  <c r="J195" i="5" s="1"/>
  <c r="J222" i="5" s="1"/>
  <c r="J249" i="5" s="1"/>
  <c r="J276" i="5" s="1"/>
  <c r="J303" i="5" s="1"/>
  <c r="J330" i="5" s="1"/>
  <c r="J357" i="5" s="1"/>
  <c r="J384" i="5" s="1"/>
  <c r="J411" i="5" s="1"/>
  <c r="I60" i="5"/>
  <c r="I87" i="5" s="1"/>
  <c r="I114" i="5" s="1"/>
  <c r="I141" i="5" s="1"/>
  <c r="I168" i="5" s="1"/>
  <c r="I195" i="5" s="1"/>
  <c r="I222" i="5" s="1"/>
  <c r="I249" i="5" s="1"/>
  <c r="I276" i="5" s="1"/>
  <c r="I303" i="5" s="1"/>
  <c r="I330" i="5" s="1"/>
  <c r="I357" i="5" s="1"/>
  <c r="I384" i="5" s="1"/>
  <c r="I411" i="5" s="1"/>
  <c r="M58" i="5"/>
  <c r="L58" i="5"/>
  <c r="K58" i="5"/>
  <c r="J58" i="5"/>
  <c r="I58" i="5"/>
  <c r="H73" i="5"/>
  <c r="H67" i="5"/>
  <c r="H60" i="5"/>
  <c r="H87" i="5" s="1"/>
  <c r="H114" i="5" s="1"/>
  <c r="H141" i="5" s="1"/>
  <c r="H168" i="5" s="1"/>
  <c r="H195" i="5" s="1"/>
  <c r="H222" i="5" s="1"/>
  <c r="H249" i="5" s="1"/>
  <c r="H276" i="5" s="1"/>
  <c r="H303" i="5" s="1"/>
  <c r="H330" i="5" s="1"/>
  <c r="H357" i="5" s="1"/>
  <c r="H384" i="5" s="1"/>
  <c r="H411" i="5" s="1"/>
  <c r="H58" i="5"/>
  <c r="H61" i="5" s="1"/>
  <c r="H63" i="5" s="1"/>
  <c r="G45" i="5"/>
  <c r="G39" i="5"/>
  <c r="D31" i="5"/>
  <c r="E31" i="5"/>
  <c r="E34" i="5" s="1"/>
  <c r="E36" i="5" s="1"/>
  <c r="E50" i="5" s="1"/>
  <c r="F31" i="5"/>
  <c r="C31" i="5"/>
  <c r="C34" i="5" s="1"/>
  <c r="C52" i="5"/>
  <c r="C133" i="5" s="1"/>
  <c r="C214" i="5" s="1"/>
  <c r="C295" i="5" s="1"/>
  <c r="C376" i="5" s="1"/>
  <c r="E47" i="5"/>
  <c r="D47" i="5"/>
  <c r="C47" i="5"/>
  <c r="F44" i="5"/>
  <c r="E44" i="5"/>
  <c r="E46" i="5" s="1"/>
  <c r="E48" i="5" s="1"/>
  <c r="D44" i="5"/>
  <c r="D46" i="5" s="1"/>
  <c r="D48" i="5" s="1"/>
  <c r="C44" i="5"/>
  <c r="C46" i="5" s="1"/>
  <c r="C48" i="5" s="1"/>
  <c r="E41" i="5"/>
  <c r="D41" i="5"/>
  <c r="C41" i="5"/>
  <c r="F38" i="5"/>
  <c r="F40" i="5" s="1"/>
  <c r="E38" i="5"/>
  <c r="E40" i="5" s="1"/>
  <c r="E42" i="5" s="1"/>
  <c r="D38" i="5"/>
  <c r="D40" i="5" s="1"/>
  <c r="D42" i="5" s="1"/>
  <c r="C38" i="5"/>
  <c r="C40" i="5" s="1"/>
  <c r="F33" i="5"/>
  <c r="E33" i="5"/>
  <c r="D33" i="5"/>
  <c r="C33" i="5"/>
  <c r="F34" i="5"/>
  <c r="D34" i="5"/>
  <c r="D36" i="5" s="1"/>
  <c r="I47" i="5"/>
  <c r="M44" i="5"/>
  <c r="M46" i="5" s="1"/>
  <c r="L44" i="5"/>
  <c r="L46" i="5" s="1"/>
  <c r="K44" i="5"/>
  <c r="K46" i="5" s="1"/>
  <c r="J44" i="5"/>
  <c r="J46" i="5" s="1"/>
  <c r="I44" i="5"/>
  <c r="I46" i="5" s="1"/>
  <c r="I41" i="5"/>
  <c r="M38" i="5"/>
  <c r="M40" i="5" s="1"/>
  <c r="L38" i="5"/>
  <c r="L40" i="5" s="1"/>
  <c r="K38" i="5"/>
  <c r="K40" i="5" s="1"/>
  <c r="J38" i="5"/>
  <c r="J40" i="5" s="1"/>
  <c r="I38" i="5"/>
  <c r="I40" i="5" s="1"/>
  <c r="M33" i="5"/>
  <c r="L33" i="5"/>
  <c r="K33" i="5"/>
  <c r="J33" i="5"/>
  <c r="I33" i="5"/>
  <c r="M31" i="5"/>
  <c r="L31" i="5"/>
  <c r="L34" i="5" s="1"/>
  <c r="K31" i="5"/>
  <c r="J31" i="5"/>
  <c r="J34" i="5" s="1"/>
  <c r="I31" i="5"/>
  <c r="H47" i="5"/>
  <c r="H44" i="5"/>
  <c r="H46" i="5" s="1"/>
  <c r="H41" i="5"/>
  <c r="H38" i="5"/>
  <c r="H40" i="5" s="1"/>
  <c r="H42" i="5" s="1"/>
  <c r="H33" i="5"/>
  <c r="H31" i="5"/>
  <c r="H34" i="5" s="1"/>
  <c r="H36" i="5" s="1"/>
  <c r="D25" i="5"/>
  <c r="E25" i="5" s="1"/>
  <c r="G18" i="5"/>
  <c r="G17" i="5"/>
  <c r="G12" i="5"/>
  <c r="I13" i="5"/>
  <c r="J13" i="5"/>
  <c r="K13" i="5"/>
  <c r="L13" i="5"/>
  <c r="M13" i="5"/>
  <c r="N13" i="5"/>
  <c r="I19" i="5"/>
  <c r="J19" i="5"/>
  <c r="K19" i="5"/>
  <c r="L19" i="5"/>
  <c r="M19" i="5"/>
  <c r="N19" i="5"/>
  <c r="H19" i="5"/>
  <c r="H13" i="5"/>
  <c r="G11" i="5"/>
  <c r="G6" i="5"/>
  <c r="D13" i="5"/>
  <c r="E13" i="5"/>
  <c r="F13" i="5"/>
  <c r="E14" i="5"/>
  <c r="E15" i="5" s="1"/>
  <c r="D19" i="5"/>
  <c r="E19" i="5"/>
  <c r="F19" i="5"/>
  <c r="E20" i="5"/>
  <c r="C20" i="5"/>
  <c r="C19" i="5"/>
  <c r="C14" i="5"/>
  <c r="C13" i="5"/>
  <c r="G4" i="5"/>
  <c r="D4" i="5" s="1"/>
  <c r="D7" i="5" s="1"/>
  <c r="D9" i="5" s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C2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F204" i="1"/>
  <c r="E204" i="1"/>
  <c r="D204" i="1"/>
  <c r="C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F203" i="1"/>
  <c r="E203" i="1"/>
  <c r="D203" i="1"/>
  <c r="C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F202" i="1"/>
  <c r="E202" i="1"/>
  <c r="D202" i="1"/>
  <c r="C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F201" i="1"/>
  <c r="E201" i="1"/>
  <c r="D201" i="1"/>
  <c r="C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F200" i="1"/>
  <c r="E200" i="1"/>
  <c r="D200" i="1"/>
  <c r="C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F199" i="1"/>
  <c r="E199" i="1"/>
  <c r="D199" i="1"/>
  <c r="C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F198" i="1"/>
  <c r="E198" i="1"/>
  <c r="D198" i="1"/>
  <c r="C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F197" i="1"/>
  <c r="E197" i="1"/>
  <c r="D197" i="1"/>
  <c r="C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F196" i="1"/>
  <c r="E196" i="1"/>
  <c r="D196" i="1"/>
  <c r="C196" i="1"/>
  <c r="A196" i="1"/>
  <c r="A197" i="1" s="1"/>
  <c r="A198" i="1" s="1"/>
  <c r="A199" i="1" s="1"/>
  <c r="A200" i="1" s="1"/>
  <c r="A201" i="1" s="1"/>
  <c r="A202" i="1" s="1"/>
  <c r="A203" i="1" s="1"/>
  <c r="A204" i="1" s="1"/>
  <c r="F195" i="1"/>
  <c r="E195" i="1"/>
  <c r="D195" i="1"/>
  <c r="C195" i="1"/>
  <c r="O188" i="1"/>
  <c r="P188" i="1" s="1"/>
  <c r="Q188" i="1" s="1"/>
  <c r="AG181" i="1"/>
  <c r="F181" i="1"/>
  <c r="E181" i="1" s="1"/>
  <c r="D181" i="1" s="1"/>
  <c r="C181" i="1" s="1"/>
  <c r="AG177" i="1"/>
  <c r="F177" i="1"/>
  <c r="E177" i="1" s="1"/>
  <c r="D177" i="1" s="1"/>
  <c r="C177" i="1" s="1"/>
  <c r="AG173" i="1"/>
  <c r="AH173" i="1" s="1"/>
  <c r="AI173" i="1" s="1"/>
  <c r="AJ173" i="1" s="1"/>
  <c r="AK173" i="1" s="1"/>
  <c r="AL173" i="1" s="1"/>
  <c r="AM173" i="1" s="1"/>
  <c r="AN173" i="1" s="1"/>
  <c r="AO173" i="1" s="1"/>
  <c r="F173" i="1"/>
  <c r="E173" i="1" s="1"/>
  <c r="D173" i="1" s="1"/>
  <c r="C173" i="1" s="1"/>
  <c r="M168" i="1"/>
  <c r="K168" i="1"/>
  <c r="I168" i="1"/>
  <c r="F168" i="1"/>
  <c r="E168" i="1"/>
  <c r="D168" i="1"/>
  <c r="C168" i="1"/>
  <c r="AH166" i="1"/>
  <c r="AI166" i="1" s="1"/>
  <c r="AJ166" i="1" s="1"/>
  <c r="AK166" i="1" s="1"/>
  <c r="AL166" i="1" s="1"/>
  <c r="AM166" i="1" s="1"/>
  <c r="AN166" i="1" s="1"/>
  <c r="AO166" i="1" s="1"/>
  <c r="G166" i="1"/>
  <c r="AJ163" i="1"/>
  <c r="AK163" i="1" s="1"/>
  <c r="AL163" i="1" s="1"/>
  <c r="AM163" i="1" s="1"/>
  <c r="AN163" i="1" s="1"/>
  <c r="AO163" i="1" s="1"/>
  <c r="AF163" i="1"/>
  <c r="AE163" i="1"/>
  <c r="AD163" i="1"/>
  <c r="AC163" i="1"/>
  <c r="AB163" i="1"/>
  <c r="AA163" i="1"/>
  <c r="Z163" i="1"/>
  <c r="Y163" i="1"/>
  <c r="X163" i="1"/>
  <c r="W163" i="1"/>
  <c r="V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F163" i="1"/>
  <c r="E163" i="1"/>
  <c r="D163" i="1"/>
  <c r="C163" i="1"/>
  <c r="O156" i="1"/>
  <c r="P156" i="1" s="1"/>
  <c r="Q156" i="1" s="1"/>
  <c r="R156" i="1" s="1"/>
  <c r="S156" i="1" s="1"/>
  <c r="H156" i="1"/>
  <c r="T153" i="1"/>
  <c r="C153" i="1"/>
  <c r="O143" i="1"/>
  <c r="P143" i="1" s="1"/>
  <c r="G143" i="1"/>
  <c r="C142" i="1"/>
  <c r="C144" i="1" s="1"/>
  <c r="O140" i="1"/>
  <c r="P140" i="1" s="1"/>
  <c r="G140" i="1"/>
  <c r="AI132" i="1"/>
  <c r="AI35" i="7" s="1"/>
  <c r="AF132" i="1"/>
  <c r="AF35" i="7" s="1"/>
  <c r="AE132" i="1"/>
  <c r="AE35" i="7" s="1"/>
  <c r="AD132" i="1"/>
  <c r="AD35" i="7" s="1"/>
  <c r="AC132" i="1"/>
  <c r="AC35" i="7" s="1"/>
  <c r="AB132" i="1"/>
  <c r="AB35" i="7" s="1"/>
  <c r="AA132" i="1"/>
  <c r="AA35" i="7" s="1"/>
  <c r="Z132" i="1"/>
  <c r="Z35" i="7" s="1"/>
  <c r="Y132" i="1"/>
  <c r="Y35" i="7" s="1"/>
  <c r="X132" i="1"/>
  <c r="X35" i="7" s="1"/>
  <c r="W132" i="1"/>
  <c r="W35" i="7" s="1"/>
  <c r="S132" i="1"/>
  <c r="S35" i="7" s="1"/>
  <c r="R132" i="1"/>
  <c r="R35" i="7" s="1"/>
  <c r="Q132" i="1"/>
  <c r="Q35" i="7" s="1"/>
  <c r="P132" i="1"/>
  <c r="P35" i="7" s="1"/>
  <c r="O132" i="1"/>
  <c r="O35" i="7" s="1"/>
  <c r="N132" i="1"/>
  <c r="N35" i="7" s="1"/>
  <c r="M132" i="1"/>
  <c r="M35" i="7" s="1"/>
  <c r="L132" i="1"/>
  <c r="L35" i="7" s="1"/>
  <c r="K132" i="1"/>
  <c r="K35" i="7" s="1"/>
  <c r="J132" i="1"/>
  <c r="J35" i="7" s="1"/>
  <c r="I132" i="1"/>
  <c r="I35" i="7" s="1"/>
  <c r="H132" i="1"/>
  <c r="H35" i="7" s="1"/>
  <c r="G132" i="1"/>
  <c r="T129" i="1"/>
  <c r="G129" i="1"/>
  <c r="T128" i="1"/>
  <c r="AH124" i="1"/>
  <c r="AH33" i="7" s="1"/>
  <c r="AF124" i="1"/>
  <c r="AF33" i="7" s="1"/>
  <c r="AE124" i="1"/>
  <c r="AE33" i="7" s="1"/>
  <c r="AD124" i="1"/>
  <c r="AD33" i="7" s="1"/>
  <c r="AC124" i="1"/>
  <c r="AC33" i="7" s="1"/>
  <c r="AB124" i="1"/>
  <c r="AB33" i="7" s="1"/>
  <c r="AA124" i="1"/>
  <c r="AA33" i="7" s="1"/>
  <c r="Z124" i="1"/>
  <c r="Z33" i="7" s="1"/>
  <c r="Y124" i="1"/>
  <c r="Y33" i="7" s="1"/>
  <c r="X124" i="1"/>
  <c r="X33" i="7" s="1"/>
  <c r="W124" i="1"/>
  <c r="W33" i="7" s="1"/>
  <c r="V124" i="1"/>
  <c r="V33" i="7" s="1"/>
  <c r="U124" i="1"/>
  <c r="U33" i="7" s="1"/>
  <c r="S124" i="1"/>
  <c r="S33" i="7" s="1"/>
  <c r="R124" i="1"/>
  <c r="R33" i="7" s="1"/>
  <c r="Q124" i="1"/>
  <c r="Q33" i="7" s="1"/>
  <c r="P124" i="1"/>
  <c r="P33" i="7" s="1"/>
  <c r="O124" i="1"/>
  <c r="O33" i="7" s="1"/>
  <c r="N124" i="1"/>
  <c r="N33" i="7" s="1"/>
  <c r="M124" i="1"/>
  <c r="M33" i="7" s="1"/>
  <c r="L124" i="1"/>
  <c r="L33" i="7" s="1"/>
  <c r="K124" i="1"/>
  <c r="K33" i="7" s="1"/>
  <c r="J124" i="1"/>
  <c r="J33" i="7" s="1"/>
  <c r="I124" i="1"/>
  <c r="I33" i="7" s="1"/>
  <c r="H124" i="1"/>
  <c r="H33" i="7" s="1"/>
  <c r="G124" i="1"/>
  <c r="AH121" i="1"/>
  <c r="AH32" i="7" s="1"/>
  <c r="AF121" i="1"/>
  <c r="AF32" i="7" s="1"/>
  <c r="AE121" i="1"/>
  <c r="AE32" i="7" s="1"/>
  <c r="AD121" i="1"/>
  <c r="AD32" i="7" s="1"/>
  <c r="AC121" i="1"/>
  <c r="AC32" i="7" s="1"/>
  <c r="AB121" i="1"/>
  <c r="AB32" i="7" s="1"/>
  <c r="AA121" i="1"/>
  <c r="AA32" i="7" s="1"/>
  <c r="Z121" i="1"/>
  <c r="Z32" i="7" s="1"/>
  <c r="Y121" i="1"/>
  <c r="Y32" i="7" s="1"/>
  <c r="X121" i="1"/>
  <c r="X32" i="7" s="1"/>
  <c r="W121" i="1"/>
  <c r="W32" i="7" s="1"/>
  <c r="V121" i="1"/>
  <c r="V32" i="7" s="1"/>
  <c r="U121" i="1"/>
  <c r="U32" i="7" s="1"/>
  <c r="S121" i="1"/>
  <c r="S32" i="7" s="1"/>
  <c r="R121" i="1"/>
  <c r="R32" i="7" s="1"/>
  <c r="Q121" i="1"/>
  <c r="Q32" i="7" s="1"/>
  <c r="P121" i="1"/>
  <c r="P32" i="7" s="1"/>
  <c r="O121" i="1"/>
  <c r="O32" i="7" s="1"/>
  <c r="N121" i="1"/>
  <c r="N32" i="7" s="1"/>
  <c r="M121" i="1"/>
  <c r="M32" i="7" s="1"/>
  <c r="L121" i="1"/>
  <c r="L32" i="7" s="1"/>
  <c r="K121" i="1"/>
  <c r="K32" i="7" s="1"/>
  <c r="J121" i="1"/>
  <c r="J32" i="7" s="1"/>
  <c r="I121" i="1"/>
  <c r="I32" i="7" s="1"/>
  <c r="H121" i="1"/>
  <c r="H32" i="7" s="1"/>
  <c r="G121" i="1"/>
  <c r="AH118" i="1"/>
  <c r="AI118" i="1" s="1"/>
  <c r="AJ118" i="1" s="1"/>
  <c r="AK118" i="1" s="1"/>
  <c r="AL118" i="1" s="1"/>
  <c r="AM118" i="1" s="1"/>
  <c r="AN118" i="1" s="1"/>
  <c r="AO118" i="1" s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AO117" i="1"/>
  <c r="AO119" i="1" s="1"/>
  <c r="AO31" i="7" s="1"/>
  <c r="AN117" i="1"/>
  <c r="AN119" i="1" s="1"/>
  <c r="AN31" i="7" s="1"/>
  <c r="AM117" i="1"/>
  <c r="AM119" i="1" s="1"/>
  <c r="AM31" i="7" s="1"/>
  <c r="AL117" i="1"/>
  <c r="AL119" i="1" s="1"/>
  <c r="AL31" i="7" s="1"/>
  <c r="AK117" i="1"/>
  <c r="AK119" i="1" s="1"/>
  <c r="AK31" i="7" s="1"/>
  <c r="AJ117" i="1"/>
  <c r="AJ119" i="1" s="1"/>
  <c r="AJ31" i="7" s="1"/>
  <c r="AI117" i="1"/>
  <c r="AI119" i="1" s="1"/>
  <c r="AI31" i="7" s="1"/>
  <c r="AH117" i="1"/>
  <c r="AH119" i="1" s="1"/>
  <c r="AH31" i="7" s="1"/>
  <c r="N117" i="1"/>
  <c r="N119" i="1" s="1"/>
  <c r="N31" i="7" s="1"/>
  <c r="M117" i="1"/>
  <c r="M119" i="1" s="1"/>
  <c r="M31" i="7" s="1"/>
  <c r="L117" i="1"/>
  <c r="L119" i="1" s="1"/>
  <c r="L31" i="7" s="1"/>
  <c r="K117" i="1"/>
  <c r="K119" i="1" s="1"/>
  <c r="K31" i="7" s="1"/>
  <c r="J117" i="1"/>
  <c r="J119" i="1" s="1"/>
  <c r="J31" i="7" s="1"/>
  <c r="I117" i="1"/>
  <c r="I119" i="1" s="1"/>
  <c r="I31" i="7" s="1"/>
  <c r="H117" i="1"/>
  <c r="H119" i="1" s="1"/>
  <c r="H31" i="7" s="1"/>
  <c r="F117" i="1"/>
  <c r="F119" i="1" s="1"/>
  <c r="F31" i="7" s="1"/>
  <c r="E117" i="1"/>
  <c r="E119" i="1" s="1"/>
  <c r="E31" i="7" s="1"/>
  <c r="D117" i="1"/>
  <c r="D119" i="1" s="1"/>
  <c r="D31" i="7" s="1"/>
  <c r="C117" i="1"/>
  <c r="C119" i="1" s="1"/>
  <c r="AG113" i="1"/>
  <c r="AD113" i="1" s="1"/>
  <c r="AD30" i="7" s="1"/>
  <c r="X113" i="1"/>
  <c r="X30" i="7" s="1"/>
  <c r="S113" i="1"/>
  <c r="S30" i="7" s="1"/>
  <c r="R113" i="1"/>
  <c r="R30" i="7" s="1"/>
  <c r="Q113" i="1"/>
  <c r="Q30" i="7" s="1"/>
  <c r="P113" i="1"/>
  <c r="P30" i="7" s="1"/>
  <c r="O113" i="1"/>
  <c r="O30" i="7" s="1"/>
  <c r="N113" i="1"/>
  <c r="N30" i="7" s="1"/>
  <c r="M113" i="1"/>
  <c r="M30" i="7" s="1"/>
  <c r="L113" i="1"/>
  <c r="L30" i="7" s="1"/>
  <c r="K113" i="1"/>
  <c r="K30" i="7" s="1"/>
  <c r="J113" i="1"/>
  <c r="J30" i="7" s="1"/>
  <c r="I113" i="1"/>
  <c r="I30" i="7" s="1"/>
  <c r="H113" i="1"/>
  <c r="H30" i="7" s="1"/>
  <c r="G113" i="1"/>
  <c r="AG110" i="1"/>
  <c r="AF110" i="1" s="1"/>
  <c r="AF29" i="7" s="1"/>
  <c r="AC110" i="1"/>
  <c r="AC29" i="7" s="1"/>
  <c r="AA110" i="1"/>
  <c r="AA29" i="7" s="1"/>
  <c r="Y110" i="1"/>
  <c r="Y29" i="7" s="1"/>
  <c r="W110" i="1"/>
  <c r="W29" i="7" s="1"/>
  <c r="U110" i="1"/>
  <c r="U29" i="7" s="1"/>
  <c r="S110" i="1"/>
  <c r="S29" i="7" s="1"/>
  <c r="R110" i="1"/>
  <c r="R29" i="7" s="1"/>
  <c r="Q110" i="1"/>
  <c r="Q29" i="7" s="1"/>
  <c r="P110" i="1"/>
  <c r="P29" i="7" s="1"/>
  <c r="O110" i="1"/>
  <c r="O29" i="7" s="1"/>
  <c r="N110" i="1"/>
  <c r="N29" i="7" s="1"/>
  <c r="M110" i="1"/>
  <c r="M29" i="7" s="1"/>
  <c r="L110" i="1"/>
  <c r="L29" i="7" s="1"/>
  <c r="K110" i="1"/>
  <c r="K29" i="7" s="1"/>
  <c r="J110" i="1"/>
  <c r="J29" i="7" s="1"/>
  <c r="I110" i="1"/>
  <c r="I29" i="7" s="1"/>
  <c r="H110" i="1"/>
  <c r="H29" i="7" s="1"/>
  <c r="G110" i="1"/>
  <c r="AG101" i="1"/>
  <c r="AJ100" i="1"/>
  <c r="AK100" i="1" s="1"/>
  <c r="AL100" i="1" s="1"/>
  <c r="AM100" i="1" s="1"/>
  <c r="AN100" i="1" s="1"/>
  <c r="AO100" i="1" s="1"/>
  <c r="O100" i="1"/>
  <c r="AG98" i="1"/>
  <c r="T98" i="1"/>
  <c r="C93" i="1"/>
  <c r="C27" i="7" s="1"/>
  <c r="AG92" i="1"/>
  <c r="AH92" i="1" s="1"/>
  <c r="AI92" i="1" s="1"/>
  <c r="AJ92" i="1" s="1"/>
  <c r="AK92" i="1" s="1"/>
  <c r="AL92" i="1" s="1"/>
  <c r="AM92" i="1" s="1"/>
  <c r="AN92" i="1" s="1"/>
  <c r="AO92" i="1" s="1"/>
  <c r="T92" i="1"/>
  <c r="G92" i="1"/>
  <c r="O91" i="1"/>
  <c r="P91" i="1" s="1"/>
  <c r="G91" i="1"/>
  <c r="D91" i="1"/>
  <c r="AG81" i="1"/>
  <c r="T81" i="1"/>
  <c r="G81" i="1"/>
  <c r="AG74" i="1"/>
  <c r="T74" i="1"/>
  <c r="AG71" i="1"/>
  <c r="T71" i="1"/>
  <c r="G71" i="1"/>
  <c r="D70" i="1"/>
  <c r="D72" i="1" s="1"/>
  <c r="C70" i="1"/>
  <c r="C72" i="1" s="1"/>
  <c r="D65" i="1"/>
  <c r="C65" i="1"/>
  <c r="C76" i="1" s="1"/>
  <c r="C26" i="7" s="1"/>
  <c r="AG64" i="1"/>
  <c r="T64" i="1"/>
  <c r="G64" i="1"/>
  <c r="AG56" i="1"/>
  <c r="T56" i="1"/>
  <c r="AG54" i="1"/>
  <c r="T54" i="1"/>
  <c r="AG49" i="1"/>
  <c r="AH49" i="1" s="1"/>
  <c r="AH25" i="7" s="1"/>
  <c r="Y49" i="1"/>
  <c r="Y25" i="7" s="1"/>
  <c r="S49" i="1"/>
  <c r="S25" i="7" s="1"/>
  <c r="R49" i="1"/>
  <c r="R25" i="7" s="1"/>
  <c r="Q49" i="1"/>
  <c r="Q25" i="7" s="1"/>
  <c r="P49" i="1"/>
  <c r="P25" i="7" s="1"/>
  <c r="O49" i="1"/>
  <c r="O25" i="7" s="1"/>
  <c r="N49" i="1"/>
  <c r="N25" i="7" s="1"/>
  <c r="M49" i="1"/>
  <c r="M25" i="7" s="1"/>
  <c r="L49" i="1"/>
  <c r="L25" i="7" s="1"/>
  <c r="K49" i="1"/>
  <c r="K25" i="7" s="1"/>
  <c r="J49" i="1"/>
  <c r="J25" i="7" s="1"/>
  <c r="I49" i="1"/>
  <c r="I25" i="7" s="1"/>
  <c r="H49" i="1"/>
  <c r="H25" i="7" s="1"/>
  <c r="F49" i="1"/>
  <c r="F25" i="7" s="1"/>
  <c r="E49" i="1"/>
  <c r="E25" i="7" s="1"/>
  <c r="D49" i="1"/>
  <c r="D25" i="7" s="1"/>
  <c r="C49" i="1"/>
  <c r="C25" i="7" s="1"/>
  <c r="AG46" i="1"/>
  <c r="AH46" i="1" s="1"/>
  <c r="AH24" i="7" s="1"/>
  <c r="AA46" i="1"/>
  <c r="AA24" i="7" s="1"/>
  <c r="W46" i="1"/>
  <c r="W24" i="7" s="1"/>
  <c r="H46" i="1"/>
  <c r="H24" i="7" s="1"/>
  <c r="AG43" i="1"/>
  <c r="AE43" i="1" s="1"/>
  <c r="AE23" i="7" s="1"/>
  <c r="Y43" i="1"/>
  <c r="Y23" i="7" s="1"/>
  <c r="U43" i="1"/>
  <c r="U23" i="7" s="1"/>
  <c r="I43" i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S23" i="7" s="1"/>
  <c r="AH40" i="1"/>
  <c r="AH22" i="7" s="1"/>
  <c r="AF40" i="1"/>
  <c r="AF22" i="7" s="1"/>
  <c r="AE40" i="1"/>
  <c r="AE22" i="7" s="1"/>
  <c r="AD40" i="1"/>
  <c r="AD22" i="7" s="1"/>
  <c r="AC40" i="1"/>
  <c r="AC22" i="7" s="1"/>
  <c r="AB40" i="1"/>
  <c r="AB22" i="7" s="1"/>
  <c r="AA40" i="1"/>
  <c r="AA22" i="7" s="1"/>
  <c r="Z40" i="1"/>
  <c r="Z22" i="7" s="1"/>
  <c r="Y40" i="1"/>
  <c r="Y22" i="7" s="1"/>
  <c r="X40" i="1"/>
  <c r="X22" i="7" s="1"/>
  <c r="W40" i="1"/>
  <c r="W22" i="7" s="1"/>
  <c r="V40" i="1"/>
  <c r="V22" i="7" s="1"/>
  <c r="U40" i="1"/>
  <c r="U22" i="7" s="1"/>
  <c r="F40" i="1"/>
  <c r="F22" i="7" s="1"/>
  <c r="E40" i="1"/>
  <c r="E22" i="7" s="1"/>
  <c r="D40" i="1"/>
  <c r="D22" i="7" s="1"/>
  <c r="C40" i="1"/>
  <c r="C22" i="7" s="1"/>
  <c r="AG36" i="1"/>
  <c r="AH36" i="1" s="1"/>
  <c r="AI36" i="1" s="1"/>
  <c r="AJ36" i="1" s="1"/>
  <c r="AK36" i="1" s="1"/>
  <c r="AL36" i="1" s="1"/>
  <c r="AM36" i="1" s="1"/>
  <c r="AN36" i="1" s="1"/>
  <c r="AO36" i="1" s="1"/>
  <c r="S36" i="1"/>
  <c r="R36" i="1"/>
  <c r="Q36" i="1"/>
  <c r="P36" i="1"/>
  <c r="O36" i="1"/>
  <c r="N36" i="1"/>
  <c r="M36" i="1"/>
  <c r="L36" i="1"/>
  <c r="K36" i="1"/>
  <c r="J36" i="1"/>
  <c r="I36" i="1"/>
  <c r="H36" i="1"/>
  <c r="C35" i="1"/>
  <c r="C189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G24" i="1"/>
  <c r="AE24" i="1" s="1"/>
  <c r="AC24" i="1"/>
  <c r="Y24" i="1"/>
  <c r="U24" i="1"/>
  <c r="U25" i="1" s="1"/>
  <c r="U19" i="7" s="1"/>
  <c r="S24" i="1"/>
  <c r="S25" i="1" s="1"/>
  <c r="S19" i="7" s="1"/>
  <c r="R24" i="1"/>
  <c r="R25" i="1" s="1"/>
  <c r="R19" i="7" s="1"/>
  <c r="Q24" i="1"/>
  <c r="Q25" i="1" s="1"/>
  <c r="Q19" i="7" s="1"/>
  <c r="P24" i="1"/>
  <c r="O24" i="1"/>
  <c r="N24" i="1"/>
  <c r="N25" i="1" s="1"/>
  <c r="N19" i="7" s="1"/>
  <c r="M24" i="1"/>
  <c r="M25" i="1" s="1"/>
  <c r="M19" i="7" s="1"/>
  <c r="L24" i="1"/>
  <c r="L25" i="1" s="1"/>
  <c r="L19" i="7" s="1"/>
  <c r="K24" i="1"/>
  <c r="K25" i="1" s="1"/>
  <c r="K19" i="7" s="1"/>
  <c r="J24" i="1"/>
  <c r="J25" i="1" s="1"/>
  <c r="J19" i="7" s="1"/>
  <c r="I24" i="1"/>
  <c r="I25" i="1" s="1"/>
  <c r="I19" i="7" s="1"/>
  <c r="H24" i="1"/>
  <c r="H25" i="1" s="1"/>
  <c r="H19" i="7" s="1"/>
  <c r="G24" i="1"/>
  <c r="G25" i="1" s="1"/>
  <c r="F24" i="1"/>
  <c r="F25" i="1" s="1"/>
  <c r="F19" i="7" s="1"/>
  <c r="E24" i="1"/>
  <c r="E25" i="1" s="1"/>
  <c r="E19" i="7" s="1"/>
  <c r="D24" i="1"/>
  <c r="D25" i="1" s="1"/>
  <c r="D19" i="7" s="1"/>
  <c r="C24" i="1"/>
  <c r="C25" i="1" s="1"/>
  <c r="C19" i="7" s="1"/>
  <c r="AB23" i="1"/>
  <c r="V23" i="1"/>
  <c r="T23" i="1"/>
  <c r="AG19" i="1"/>
  <c r="AD19" i="1"/>
  <c r="AC19" i="1"/>
  <c r="AB19" i="1"/>
  <c r="AA19" i="1"/>
  <c r="Z19" i="1"/>
  <c r="Y19" i="1"/>
  <c r="X19" i="1"/>
  <c r="W19" i="1"/>
  <c r="V19" i="1"/>
  <c r="U19" i="1"/>
  <c r="U20" i="1" s="1"/>
  <c r="U18" i="7" s="1"/>
  <c r="S19" i="1"/>
  <c r="R19" i="1"/>
  <c r="Q19" i="1"/>
  <c r="Q20" i="1" s="1"/>
  <c r="Q18" i="7" s="1"/>
  <c r="P19" i="1"/>
  <c r="O19" i="1"/>
  <c r="N19" i="1"/>
  <c r="N20" i="1" s="1"/>
  <c r="N18" i="7" s="1"/>
  <c r="M19" i="1"/>
  <c r="M20" i="1" s="1"/>
  <c r="M18" i="7" s="1"/>
  <c r="L19" i="1"/>
  <c r="L20" i="1" s="1"/>
  <c r="L18" i="7" s="1"/>
  <c r="K19" i="1"/>
  <c r="K20" i="1" s="1"/>
  <c r="K18" i="7" s="1"/>
  <c r="J19" i="1"/>
  <c r="J20" i="1" s="1"/>
  <c r="J18" i="7" s="1"/>
  <c r="I19" i="1"/>
  <c r="I20" i="1" s="1"/>
  <c r="I18" i="7" s="1"/>
  <c r="H19" i="1"/>
  <c r="H20" i="1" s="1"/>
  <c r="H18" i="7" s="1"/>
  <c r="G19" i="1"/>
  <c r="F19" i="1"/>
  <c r="F20" i="1" s="1"/>
  <c r="F18" i="7" s="1"/>
  <c r="E19" i="1"/>
  <c r="E20" i="1" s="1"/>
  <c r="E18" i="7" s="1"/>
  <c r="D19" i="1"/>
  <c r="D20" i="1" s="1"/>
  <c r="D18" i="7" s="1"/>
  <c r="C19" i="1"/>
  <c r="C20" i="1" s="1"/>
  <c r="C18" i="7" s="1"/>
  <c r="V18" i="1"/>
  <c r="R20" i="1"/>
  <c r="R18" i="7" s="1"/>
  <c r="G18" i="1"/>
  <c r="AG14" i="1"/>
  <c r="AG128" i="1" s="1"/>
  <c r="AG129" i="1" s="1"/>
  <c r="Y14" i="1"/>
  <c r="S14" i="1"/>
  <c r="R14" i="1"/>
  <c r="R15" i="1" s="1"/>
  <c r="R128" i="1" s="1"/>
  <c r="Q14" i="1"/>
  <c r="Q15" i="1" s="1"/>
  <c r="P14" i="1"/>
  <c r="P15" i="1" s="1"/>
  <c r="P128" i="1" s="1"/>
  <c r="O14" i="1"/>
  <c r="O15" i="1" s="1"/>
  <c r="N14" i="1"/>
  <c r="N15" i="1" s="1"/>
  <c r="N128" i="1" s="1"/>
  <c r="M14" i="1"/>
  <c r="M15" i="1" s="1"/>
  <c r="L14" i="1"/>
  <c r="L15" i="1" s="1"/>
  <c r="L128" i="1" s="1"/>
  <c r="K14" i="1"/>
  <c r="K15" i="1" s="1"/>
  <c r="J14" i="1"/>
  <c r="J15" i="1" s="1"/>
  <c r="J128" i="1" s="1"/>
  <c r="I14" i="1"/>
  <c r="I15" i="1" s="1"/>
  <c r="H14" i="1"/>
  <c r="H15" i="1" s="1"/>
  <c r="H17" i="7" s="1"/>
  <c r="G14" i="1"/>
  <c r="G15" i="1" s="1"/>
  <c r="F14" i="1"/>
  <c r="F15" i="1" s="1"/>
  <c r="F17" i="7" s="1"/>
  <c r="E14" i="1"/>
  <c r="E15" i="1" s="1"/>
  <c r="E17" i="7" s="1"/>
  <c r="D14" i="1"/>
  <c r="D15" i="1" s="1"/>
  <c r="D17" i="7" s="1"/>
  <c r="C14" i="1"/>
  <c r="C15" i="1" s="1"/>
  <c r="C17" i="7" s="1"/>
  <c r="C10" i="1"/>
  <c r="C16" i="7" s="1"/>
  <c r="AH9" i="1"/>
  <c r="AF9" i="1"/>
  <c r="AE9" i="1"/>
  <c r="AD9" i="1"/>
  <c r="AC9" i="1"/>
  <c r="AB9" i="1"/>
  <c r="AA9" i="1"/>
  <c r="Z9" i="1"/>
  <c r="Y9" i="1"/>
  <c r="X9" i="1"/>
  <c r="W9" i="1"/>
  <c r="V9" i="1"/>
  <c r="U9" i="1"/>
  <c r="D8" i="1"/>
  <c r="D35" i="1" s="1"/>
  <c r="U14" i="1" l="1"/>
  <c r="AC14" i="1"/>
  <c r="E4" i="5"/>
  <c r="E7" i="5" s="1"/>
  <c r="E9" i="5" s="1"/>
  <c r="E23" i="5" s="1"/>
  <c r="E27" i="5" s="1"/>
  <c r="E436" i="5" s="1"/>
  <c r="D237" i="5"/>
  <c r="D258" i="5"/>
  <c r="D264" i="5"/>
  <c r="E312" i="5"/>
  <c r="D318" i="5"/>
  <c r="E339" i="5"/>
  <c r="D345" i="5"/>
  <c r="C372" i="5"/>
  <c r="C393" i="5"/>
  <c r="C426" i="5"/>
  <c r="U128" i="1"/>
  <c r="U129" i="1" s="1"/>
  <c r="U34" i="7" s="1"/>
  <c r="Y128" i="1"/>
  <c r="Y129" i="1" s="1"/>
  <c r="Y34" i="7" s="1"/>
  <c r="AC128" i="1"/>
  <c r="AC129" i="1" s="1"/>
  <c r="AC34" i="7" s="1"/>
  <c r="W14" i="1"/>
  <c r="AE14" i="1"/>
  <c r="AE128" i="1" s="1"/>
  <c r="AE129" i="1" s="1"/>
  <c r="AE34" i="7" s="1"/>
  <c r="AA24" i="1"/>
  <c r="AA25" i="1" s="1"/>
  <c r="AA19" i="7" s="1"/>
  <c r="U36" i="1"/>
  <c r="U46" i="1"/>
  <c r="U24" i="7" s="1"/>
  <c r="AC46" i="1"/>
  <c r="AC24" i="7" s="1"/>
  <c r="X110" i="1"/>
  <c r="X29" i="7" s="1"/>
  <c r="AB110" i="1"/>
  <c r="AB29" i="7" s="1"/>
  <c r="C139" i="1"/>
  <c r="C141" i="1" s="1"/>
  <c r="H168" i="1"/>
  <c r="L168" i="1"/>
  <c r="C15" i="5"/>
  <c r="E21" i="5"/>
  <c r="D14" i="5"/>
  <c r="D15" i="5" s="1"/>
  <c r="G15" i="5" s="1"/>
  <c r="H74" i="5"/>
  <c r="L61" i="5"/>
  <c r="D75" i="5"/>
  <c r="E74" i="5"/>
  <c r="E75" i="5" s="1"/>
  <c r="D128" i="5"/>
  <c r="H150" i="5"/>
  <c r="H177" i="5"/>
  <c r="E176" i="5"/>
  <c r="H183" i="5"/>
  <c r="E182" i="5"/>
  <c r="D311" i="5"/>
  <c r="D312" i="5" s="1"/>
  <c r="I317" i="5"/>
  <c r="D365" i="5"/>
  <c r="D419" i="5"/>
  <c r="AA14" i="1"/>
  <c r="W24" i="1"/>
  <c r="Y46" i="1"/>
  <c r="Y24" i="7" s="1"/>
  <c r="U49" i="1"/>
  <c r="U25" i="7" s="1"/>
  <c r="AG60" i="1"/>
  <c r="V110" i="1"/>
  <c r="V29" i="7" s="1"/>
  <c r="Z110" i="1"/>
  <c r="Z29" i="7" s="1"/>
  <c r="AD110" i="1"/>
  <c r="AD29" i="7" s="1"/>
  <c r="AB113" i="1"/>
  <c r="AB30" i="7" s="1"/>
  <c r="J168" i="1"/>
  <c r="C4" i="5"/>
  <c r="C7" i="5" s="1"/>
  <c r="C21" i="5"/>
  <c r="D20" i="5"/>
  <c r="D21" i="5" s="1"/>
  <c r="H68" i="5"/>
  <c r="H69" i="5" s="1"/>
  <c r="J61" i="5"/>
  <c r="E61" i="5"/>
  <c r="E63" i="5" s="1"/>
  <c r="D68" i="5"/>
  <c r="D69" i="5" s="1"/>
  <c r="D77" i="5" s="1"/>
  <c r="D81" i="5" s="1"/>
  <c r="D438" i="5" s="1"/>
  <c r="E122" i="5"/>
  <c r="E123" i="5" s="1"/>
  <c r="D129" i="5"/>
  <c r="H128" i="5"/>
  <c r="H129" i="5" s="1"/>
  <c r="E177" i="5"/>
  <c r="E183" i="5"/>
  <c r="H204" i="5"/>
  <c r="C231" i="5"/>
  <c r="H258" i="5"/>
  <c r="H264" i="5"/>
  <c r="I312" i="5"/>
  <c r="H311" i="5"/>
  <c r="H312" i="5" s="1"/>
  <c r="E317" i="5"/>
  <c r="E318" i="5" s="1"/>
  <c r="I339" i="5"/>
  <c r="D366" i="5"/>
  <c r="D371" i="5"/>
  <c r="D372" i="5" s="1"/>
  <c r="D420" i="5"/>
  <c r="D425" i="5"/>
  <c r="D426" i="5" s="1"/>
  <c r="G69" i="1"/>
  <c r="H69" i="1" s="1"/>
  <c r="AC43" i="1"/>
  <c r="AC23" i="7" s="1"/>
  <c r="AE46" i="1"/>
  <c r="AE24" i="7" s="1"/>
  <c r="AC49" i="1"/>
  <c r="AC25" i="7" s="1"/>
  <c r="C9" i="5"/>
  <c r="W49" i="1"/>
  <c r="W25" i="7" s="1"/>
  <c r="AA49" i="1"/>
  <c r="AA25" i="7" s="1"/>
  <c r="AE49" i="1"/>
  <c r="AE25" i="7" s="1"/>
  <c r="T105" i="1"/>
  <c r="R105" i="1" s="1"/>
  <c r="P100" i="1"/>
  <c r="AE110" i="1"/>
  <c r="AE29" i="7" s="1"/>
  <c r="G13" i="5"/>
  <c r="E79" i="5"/>
  <c r="E160" i="5" s="1"/>
  <c r="E241" i="5" s="1"/>
  <c r="E322" i="5" s="1"/>
  <c r="E403" i="5" s="1"/>
  <c r="E106" i="5"/>
  <c r="E187" i="5" s="1"/>
  <c r="E268" i="5" s="1"/>
  <c r="E349" i="5" s="1"/>
  <c r="E430" i="5" s="1"/>
  <c r="E52" i="5"/>
  <c r="E133" i="5" s="1"/>
  <c r="E214" i="5" s="1"/>
  <c r="E295" i="5" s="1"/>
  <c r="E376" i="5" s="1"/>
  <c r="C36" i="5"/>
  <c r="G34" i="5"/>
  <c r="E54" i="5"/>
  <c r="E437" i="5" s="1"/>
  <c r="C42" i="5"/>
  <c r="G40" i="5"/>
  <c r="F46" i="5"/>
  <c r="G46" i="5" s="1"/>
  <c r="G44" i="5"/>
  <c r="F114" i="5"/>
  <c r="G87" i="5"/>
  <c r="Y36" i="1"/>
  <c r="F4" i="5"/>
  <c r="F7" i="5" s="1"/>
  <c r="G19" i="5"/>
  <c r="D106" i="5"/>
  <c r="D187" i="5" s="1"/>
  <c r="D268" i="5" s="1"/>
  <c r="D349" i="5" s="1"/>
  <c r="D430" i="5" s="1"/>
  <c r="D52" i="5"/>
  <c r="D133" i="5" s="1"/>
  <c r="D214" i="5" s="1"/>
  <c r="D295" i="5" s="1"/>
  <c r="D376" i="5" s="1"/>
  <c r="D79" i="5"/>
  <c r="D160" i="5" s="1"/>
  <c r="D241" i="5" s="1"/>
  <c r="D322" i="5" s="1"/>
  <c r="D403" i="5" s="1"/>
  <c r="F25" i="5"/>
  <c r="I34" i="5"/>
  <c r="I36" i="5" s="1"/>
  <c r="K34" i="5"/>
  <c r="K36" i="5" s="1"/>
  <c r="M34" i="5"/>
  <c r="I42" i="5"/>
  <c r="I48" i="5"/>
  <c r="D50" i="5"/>
  <c r="D54" i="5" s="1"/>
  <c r="D437" i="5" s="1"/>
  <c r="G67" i="5"/>
  <c r="I88" i="5"/>
  <c r="I90" i="5" s="1"/>
  <c r="I104" i="5" s="1"/>
  <c r="K88" i="5"/>
  <c r="M88" i="5"/>
  <c r="C88" i="5"/>
  <c r="E88" i="5"/>
  <c r="E90" i="5" s="1"/>
  <c r="E104" i="5" s="1"/>
  <c r="E108" i="5" s="1"/>
  <c r="E439" i="5" s="1"/>
  <c r="C115" i="5"/>
  <c r="E115" i="5"/>
  <c r="E117" i="5" s="1"/>
  <c r="H115" i="5"/>
  <c r="H117" i="5" s="1"/>
  <c r="J115" i="5"/>
  <c r="L115" i="5"/>
  <c r="C142" i="5"/>
  <c r="E142" i="5"/>
  <c r="E144" i="5" s="1"/>
  <c r="E158" i="5" s="1"/>
  <c r="H142" i="5"/>
  <c r="H144" i="5" s="1"/>
  <c r="H158" i="5" s="1"/>
  <c r="J142" i="5"/>
  <c r="L142" i="5"/>
  <c r="C169" i="5"/>
  <c r="E169" i="5"/>
  <c r="E171" i="5" s="1"/>
  <c r="E185" i="5" s="1"/>
  <c r="E189" i="5" s="1"/>
  <c r="E442" i="5" s="1"/>
  <c r="H169" i="5"/>
  <c r="H171" i="5" s="1"/>
  <c r="J169" i="5"/>
  <c r="L169" i="5"/>
  <c r="D196" i="5"/>
  <c r="D198" i="5" s="1"/>
  <c r="D212" i="5" s="1"/>
  <c r="D216" i="5" s="1"/>
  <c r="D443" i="5" s="1"/>
  <c r="I196" i="5"/>
  <c r="I198" i="5" s="1"/>
  <c r="K196" i="5"/>
  <c r="M196" i="5"/>
  <c r="C223" i="5"/>
  <c r="C225" i="5" s="1"/>
  <c r="E223" i="5"/>
  <c r="H223" i="5"/>
  <c r="J223" i="5"/>
  <c r="L223" i="5"/>
  <c r="D250" i="5"/>
  <c r="D252" i="5" s="1"/>
  <c r="I250" i="5"/>
  <c r="K250" i="5"/>
  <c r="M250" i="5"/>
  <c r="C277" i="5"/>
  <c r="E277" i="5"/>
  <c r="H277" i="5"/>
  <c r="J277" i="5"/>
  <c r="L277" i="5"/>
  <c r="C304" i="5"/>
  <c r="E304" i="5"/>
  <c r="E306" i="5" s="1"/>
  <c r="H304" i="5"/>
  <c r="H306" i="5" s="1"/>
  <c r="J304" i="5"/>
  <c r="L304" i="5"/>
  <c r="D331" i="5"/>
  <c r="D333" i="5" s="1"/>
  <c r="I331" i="5"/>
  <c r="I333" i="5" s="1"/>
  <c r="I347" i="5" s="1"/>
  <c r="K331" i="5"/>
  <c r="M331" i="5"/>
  <c r="F386" i="5"/>
  <c r="H386" i="5" s="1"/>
  <c r="E392" i="5"/>
  <c r="E393" i="5" s="1"/>
  <c r="E398" i="5"/>
  <c r="G38" i="5"/>
  <c r="G168" i="1" s="1"/>
  <c r="I61" i="5"/>
  <c r="K61" i="5"/>
  <c r="M61" i="5"/>
  <c r="G61" i="5"/>
  <c r="G73" i="5"/>
  <c r="H88" i="5"/>
  <c r="H90" i="5" s="1"/>
  <c r="J88" i="5"/>
  <c r="L88" i="5"/>
  <c r="C102" i="5"/>
  <c r="D88" i="5"/>
  <c r="D90" i="5" s="1"/>
  <c r="D104" i="5" s="1"/>
  <c r="D108" i="5" s="1"/>
  <c r="D439" i="5" s="1"/>
  <c r="F88" i="5"/>
  <c r="D115" i="5"/>
  <c r="D117" i="5" s="1"/>
  <c r="F115" i="5"/>
  <c r="I115" i="5"/>
  <c r="I117" i="5" s="1"/>
  <c r="K115" i="5"/>
  <c r="M115" i="5"/>
  <c r="D142" i="5"/>
  <c r="D144" i="5" s="1"/>
  <c r="I142" i="5"/>
  <c r="I144" i="5" s="1"/>
  <c r="K142" i="5"/>
  <c r="M142" i="5"/>
  <c r="D169" i="5"/>
  <c r="D171" i="5" s="1"/>
  <c r="D185" i="5" s="1"/>
  <c r="D189" i="5" s="1"/>
  <c r="D442" i="5" s="1"/>
  <c r="I169" i="5"/>
  <c r="I171" i="5" s="1"/>
  <c r="K169" i="5"/>
  <c r="M169" i="5"/>
  <c r="C196" i="5"/>
  <c r="E196" i="5"/>
  <c r="E198" i="5" s="1"/>
  <c r="E212" i="5" s="1"/>
  <c r="E216" i="5" s="1"/>
  <c r="E443" i="5" s="1"/>
  <c r="H196" i="5"/>
  <c r="H198" i="5" s="1"/>
  <c r="J196" i="5"/>
  <c r="L196" i="5"/>
  <c r="D223" i="5"/>
  <c r="D225" i="5" s="1"/>
  <c r="I223" i="5"/>
  <c r="K223" i="5"/>
  <c r="M223" i="5"/>
  <c r="C250" i="5"/>
  <c r="C252" i="5" s="1"/>
  <c r="E250" i="5"/>
  <c r="E252" i="5" s="1"/>
  <c r="E266" i="5" s="1"/>
  <c r="E270" i="5" s="1"/>
  <c r="E445" i="5" s="1"/>
  <c r="H250" i="5"/>
  <c r="H252" i="5" s="1"/>
  <c r="J250" i="5"/>
  <c r="L250" i="5"/>
  <c r="D277" i="5"/>
  <c r="I277" i="5"/>
  <c r="K277" i="5"/>
  <c r="M277" i="5"/>
  <c r="D304" i="5"/>
  <c r="D306" i="5" s="1"/>
  <c r="I304" i="5"/>
  <c r="I306" i="5" s="1"/>
  <c r="K304" i="5"/>
  <c r="M304" i="5"/>
  <c r="C331" i="5"/>
  <c r="E331" i="5"/>
  <c r="E333" i="5" s="1"/>
  <c r="E347" i="5" s="1"/>
  <c r="E351" i="5" s="1"/>
  <c r="E448" i="5" s="1"/>
  <c r="H331" i="5"/>
  <c r="H333" i="5" s="1"/>
  <c r="J331" i="5"/>
  <c r="J333" i="5" s="1"/>
  <c r="L331" i="5"/>
  <c r="F359" i="5"/>
  <c r="H359" i="5" s="1"/>
  <c r="E371" i="5"/>
  <c r="E365" i="5"/>
  <c r="E366" i="5" s="1"/>
  <c r="F413" i="5"/>
  <c r="H413" i="5" s="1"/>
  <c r="E425" i="5"/>
  <c r="E419" i="5"/>
  <c r="H462" i="5"/>
  <c r="J462" i="5" s="1"/>
  <c r="L462" i="5" s="1"/>
  <c r="N462" i="5" s="1"/>
  <c r="P462" i="5" s="1"/>
  <c r="R462" i="5" s="1"/>
  <c r="G462" i="5"/>
  <c r="I462" i="5" s="1"/>
  <c r="K462" i="5" s="1"/>
  <c r="M462" i="5" s="1"/>
  <c r="O462" i="5" s="1"/>
  <c r="Q462" i="5" s="1"/>
  <c r="S462" i="5" s="1"/>
  <c r="T462" i="5" s="1"/>
  <c r="D358" i="5"/>
  <c r="D360" i="5" s="1"/>
  <c r="I358" i="5"/>
  <c r="K358" i="5"/>
  <c r="M358" i="5"/>
  <c r="C385" i="5"/>
  <c r="E385" i="5"/>
  <c r="E387" i="5" s="1"/>
  <c r="H385" i="5"/>
  <c r="H387" i="5" s="1"/>
  <c r="J385" i="5"/>
  <c r="L385" i="5"/>
  <c r="E399" i="5"/>
  <c r="D412" i="5"/>
  <c r="D414" i="5" s="1"/>
  <c r="I412" i="5"/>
  <c r="K412" i="5"/>
  <c r="M412" i="5"/>
  <c r="E420" i="5"/>
  <c r="E224" i="5"/>
  <c r="C358" i="5"/>
  <c r="E358" i="5"/>
  <c r="E360" i="5" s="1"/>
  <c r="H358" i="5"/>
  <c r="H360" i="5" s="1"/>
  <c r="J358" i="5"/>
  <c r="L358" i="5"/>
  <c r="E372" i="5"/>
  <c r="D385" i="5"/>
  <c r="D387" i="5" s="1"/>
  <c r="D401" i="5" s="1"/>
  <c r="D405" i="5" s="1"/>
  <c r="D450" i="5" s="1"/>
  <c r="I385" i="5"/>
  <c r="K385" i="5"/>
  <c r="M385" i="5"/>
  <c r="C412" i="5"/>
  <c r="E412" i="5"/>
  <c r="E414" i="5" s="1"/>
  <c r="H412" i="5"/>
  <c r="H414" i="5" s="1"/>
  <c r="J412" i="5"/>
  <c r="L412" i="5"/>
  <c r="E426" i="5"/>
  <c r="C459" i="5"/>
  <c r="F459" i="5"/>
  <c r="D459" i="5"/>
  <c r="G459" i="5"/>
  <c r="E459" i="5"/>
  <c r="E20" i="16"/>
  <c r="D139" i="1"/>
  <c r="E23" i="16"/>
  <c r="D142" i="1"/>
  <c r="W43" i="1"/>
  <c r="W23" i="7" s="1"/>
  <c r="AA43" i="1"/>
  <c r="AA23" i="7" s="1"/>
  <c r="V46" i="1"/>
  <c r="V24" i="7" s="1"/>
  <c r="X46" i="1"/>
  <c r="X24" i="7" s="1"/>
  <c r="Z46" i="1"/>
  <c r="Z24" i="7" s="1"/>
  <c r="AB46" i="1"/>
  <c r="AB24" i="7" s="1"/>
  <c r="AD46" i="1"/>
  <c r="AD24" i="7" s="1"/>
  <c r="AF46" i="1"/>
  <c r="AF24" i="7" s="1"/>
  <c r="V49" i="1"/>
  <c r="V25" i="7" s="1"/>
  <c r="X49" i="1"/>
  <c r="X25" i="7" s="1"/>
  <c r="Z49" i="1"/>
  <c r="Z25" i="7" s="1"/>
  <c r="AB49" i="1"/>
  <c r="AB25" i="7" s="1"/>
  <c r="AD49" i="1"/>
  <c r="AD25" i="7" s="1"/>
  <c r="AF49" i="1"/>
  <c r="AF25" i="7" s="1"/>
  <c r="E102" i="1"/>
  <c r="F102" i="1" s="1"/>
  <c r="G103" i="1"/>
  <c r="E100" i="1"/>
  <c r="E101" i="1"/>
  <c r="F101" i="1" s="1"/>
  <c r="E104" i="1"/>
  <c r="F104" i="1" s="1"/>
  <c r="AG105" i="1"/>
  <c r="S105" i="1"/>
  <c r="W128" i="1"/>
  <c r="W129" i="1" s="1"/>
  <c r="W34" i="7" s="1"/>
  <c r="AA128" i="1"/>
  <c r="AA129" i="1" s="1"/>
  <c r="AA34" i="7" s="1"/>
  <c r="O20" i="1"/>
  <c r="O18" i="7" s="1"/>
  <c r="V20" i="1"/>
  <c r="V18" i="7" s="1"/>
  <c r="W36" i="1"/>
  <c r="AC36" i="1"/>
  <c r="D76" i="1"/>
  <c r="V113" i="1"/>
  <c r="V30" i="7" s="1"/>
  <c r="Z113" i="1"/>
  <c r="Z30" i="7" s="1"/>
  <c r="T106" i="1"/>
  <c r="F63" i="1"/>
  <c r="E65" i="1"/>
  <c r="E70" i="1"/>
  <c r="E72" i="1" s="1"/>
  <c r="V14" i="1"/>
  <c r="V128" i="1" s="1"/>
  <c r="V129" i="1" s="1"/>
  <c r="V34" i="7" s="1"/>
  <c r="X14" i="1"/>
  <c r="X128" i="1" s="1"/>
  <c r="X129" i="1" s="1"/>
  <c r="X34" i="7" s="1"/>
  <c r="Z14" i="1"/>
  <c r="Z128" i="1" s="1"/>
  <c r="Z129" i="1" s="1"/>
  <c r="Z34" i="7" s="1"/>
  <c r="AB14" i="1"/>
  <c r="AB128" i="1" s="1"/>
  <c r="AB129" i="1" s="1"/>
  <c r="AB34" i="7" s="1"/>
  <c r="AD14" i="1"/>
  <c r="AD128" i="1" s="1"/>
  <c r="AD129" i="1" s="1"/>
  <c r="AD34" i="7" s="1"/>
  <c r="AF14" i="1"/>
  <c r="AF128" i="1" s="1"/>
  <c r="AF129" i="1" s="1"/>
  <c r="AF34" i="7" s="1"/>
  <c r="AH14" i="1"/>
  <c r="AI14" i="1" s="1"/>
  <c r="AJ14" i="1" s="1"/>
  <c r="AK14" i="1" s="1"/>
  <c r="AL14" i="1" s="1"/>
  <c r="AM14" i="1" s="1"/>
  <c r="AN14" i="1" s="1"/>
  <c r="AO14" i="1" s="1"/>
  <c r="V36" i="1"/>
  <c r="X36" i="1"/>
  <c r="AA36" i="1"/>
  <c r="AE36" i="1"/>
  <c r="T59" i="1"/>
  <c r="T60" i="1" s="1"/>
  <c r="D27" i="7"/>
  <c r="G60" i="1"/>
  <c r="AI124" i="1"/>
  <c r="AI33" i="7" s="1"/>
  <c r="AJ132" i="1"/>
  <c r="AJ35" i="7" s="1"/>
  <c r="Q23" i="7"/>
  <c r="M23" i="7"/>
  <c r="I23" i="7"/>
  <c r="G22" i="7"/>
  <c r="O23" i="7"/>
  <c r="K23" i="7"/>
  <c r="G63" i="1"/>
  <c r="F70" i="1"/>
  <c r="F72" i="1" s="1"/>
  <c r="F65" i="1"/>
  <c r="S15" i="1"/>
  <c r="W18" i="1"/>
  <c r="W20" i="1" s="1"/>
  <c r="W18" i="7" s="1"/>
  <c r="AH19" i="1"/>
  <c r="AI19" i="1" s="1"/>
  <c r="AJ19" i="1" s="1"/>
  <c r="AK19" i="1" s="1"/>
  <c r="AL19" i="1" s="1"/>
  <c r="AM19" i="1" s="1"/>
  <c r="AN19" i="1" s="1"/>
  <c r="AO19" i="1" s="1"/>
  <c r="AE19" i="1"/>
  <c r="AH24" i="1"/>
  <c r="AI24" i="1" s="1"/>
  <c r="AJ24" i="1" s="1"/>
  <c r="AK24" i="1" s="1"/>
  <c r="AL24" i="1" s="1"/>
  <c r="AM24" i="1" s="1"/>
  <c r="AN24" i="1" s="1"/>
  <c r="AO24" i="1" s="1"/>
  <c r="AF24" i="1"/>
  <c r="AD24" i="1"/>
  <c r="AB24" i="1"/>
  <c r="AB25" i="1" s="1"/>
  <c r="AB19" i="7" s="1"/>
  <c r="Z24" i="1"/>
  <c r="X24" i="1"/>
  <c r="V24" i="1"/>
  <c r="V25" i="1" s="1"/>
  <c r="V19" i="7" s="1"/>
  <c r="AH43" i="1"/>
  <c r="AH23" i="7" s="1"/>
  <c r="AF43" i="1"/>
  <c r="AF23" i="7" s="1"/>
  <c r="AD43" i="1"/>
  <c r="AD23" i="7" s="1"/>
  <c r="AB43" i="1"/>
  <c r="AB23" i="7" s="1"/>
  <c r="Z43" i="1"/>
  <c r="Z23" i="7" s="1"/>
  <c r="X43" i="1"/>
  <c r="X23" i="7" s="1"/>
  <c r="V43" i="1"/>
  <c r="V23" i="7" s="1"/>
  <c r="AH181" i="1"/>
  <c r="AI181" i="1" s="1"/>
  <c r="AJ181" i="1" s="1"/>
  <c r="AK181" i="1" s="1"/>
  <c r="AL181" i="1" s="1"/>
  <c r="AM181" i="1" s="1"/>
  <c r="AN181" i="1" s="1"/>
  <c r="AO181" i="1" s="1"/>
  <c r="V181" i="1"/>
  <c r="X181" i="1"/>
  <c r="Z181" i="1"/>
  <c r="AB181" i="1"/>
  <c r="AD181" i="1"/>
  <c r="AF181" i="1"/>
  <c r="W181" i="1"/>
  <c r="Y181" i="1"/>
  <c r="AA181" i="1"/>
  <c r="AC181" i="1"/>
  <c r="AE181" i="1"/>
  <c r="U181" i="1"/>
  <c r="R17" i="7"/>
  <c r="N17" i="7"/>
  <c r="J17" i="7"/>
  <c r="C128" i="1"/>
  <c r="I128" i="1"/>
  <c r="I17" i="7"/>
  <c r="K128" i="1"/>
  <c r="K17" i="7"/>
  <c r="M128" i="1"/>
  <c r="M17" i="7"/>
  <c r="O128" i="1"/>
  <c r="O17" i="7"/>
  <c r="Q128" i="1"/>
  <c r="Q17" i="7"/>
  <c r="G18" i="7"/>
  <c r="AE113" i="1"/>
  <c r="AE30" i="7" s="1"/>
  <c r="AC113" i="1"/>
  <c r="AC30" i="7" s="1"/>
  <c r="AA113" i="1"/>
  <c r="AA30" i="7" s="1"/>
  <c r="Y113" i="1"/>
  <c r="Y30" i="7" s="1"/>
  <c r="W113" i="1"/>
  <c r="W30" i="7" s="1"/>
  <c r="U113" i="1"/>
  <c r="U30" i="7" s="1"/>
  <c r="P17" i="7"/>
  <c r="L17" i="7"/>
  <c r="P25" i="1"/>
  <c r="P19" i="7" s="1"/>
  <c r="D26" i="7"/>
  <c r="G119" i="1"/>
  <c r="AH177" i="1"/>
  <c r="AI177" i="1" s="1"/>
  <c r="AJ177" i="1" s="1"/>
  <c r="AK177" i="1" s="1"/>
  <c r="AL177" i="1" s="1"/>
  <c r="AM177" i="1" s="1"/>
  <c r="AN177" i="1" s="1"/>
  <c r="AO177" i="1" s="1"/>
  <c r="V177" i="1"/>
  <c r="X177" i="1"/>
  <c r="Z177" i="1"/>
  <c r="AB177" i="1"/>
  <c r="AD177" i="1"/>
  <c r="AF177" i="1"/>
  <c r="W177" i="1"/>
  <c r="Y177" i="1"/>
  <c r="AA177" i="1"/>
  <c r="AC177" i="1"/>
  <c r="AE177" i="1"/>
  <c r="U177" i="1"/>
  <c r="H23" i="7"/>
  <c r="G24" i="7"/>
  <c r="G29" i="7"/>
  <c r="G32" i="7"/>
  <c r="G34" i="7"/>
  <c r="R23" i="7"/>
  <c r="P23" i="7"/>
  <c r="N23" i="7"/>
  <c r="L23" i="7"/>
  <c r="J23" i="7"/>
  <c r="E89" i="1"/>
  <c r="E93" i="1" s="1"/>
  <c r="G17" i="7"/>
  <c r="G19" i="7"/>
  <c r="G23" i="7"/>
  <c r="G25" i="7"/>
  <c r="G30" i="7"/>
  <c r="G33" i="7"/>
  <c r="G35" i="7"/>
  <c r="E8" i="1"/>
  <c r="E35" i="1" s="1"/>
  <c r="E36" i="1" s="1"/>
  <c r="E37" i="1" s="1"/>
  <c r="E21" i="7" s="1"/>
  <c r="C31" i="7"/>
  <c r="G31" i="7" s="1"/>
  <c r="F278" i="5"/>
  <c r="H278" i="5" s="1"/>
  <c r="E284" i="5"/>
  <c r="E290" i="5"/>
  <c r="E291" i="5" s="1"/>
  <c r="E279" i="5"/>
  <c r="H279" i="5"/>
  <c r="D279" i="5"/>
  <c r="E285" i="5"/>
  <c r="D290" i="5"/>
  <c r="D291" i="5" s="1"/>
  <c r="F20" i="16"/>
  <c r="G20" i="16" s="1"/>
  <c r="H20" i="16" s="1"/>
  <c r="E139" i="1"/>
  <c r="E141" i="1" s="1"/>
  <c r="F139" i="1"/>
  <c r="AH168" i="1"/>
  <c r="G455" i="5"/>
  <c r="I455" i="5" s="1"/>
  <c r="K455" i="5" s="1"/>
  <c r="M455" i="5" s="1"/>
  <c r="O455" i="5" s="1"/>
  <c r="K35" i="5"/>
  <c r="L35" i="5" s="1"/>
  <c r="L36" i="5" s="1"/>
  <c r="J47" i="5"/>
  <c r="J41" i="5"/>
  <c r="J42" i="5" s="1"/>
  <c r="H48" i="5"/>
  <c r="H50" i="5" s="1"/>
  <c r="J36" i="5"/>
  <c r="J62" i="5"/>
  <c r="J63" i="5" s="1"/>
  <c r="I74" i="5"/>
  <c r="I75" i="5" s="1"/>
  <c r="I68" i="5"/>
  <c r="I69" i="5" s="1"/>
  <c r="H75" i="5"/>
  <c r="I63" i="5"/>
  <c r="H96" i="5"/>
  <c r="H102" i="5"/>
  <c r="J116" i="5"/>
  <c r="I122" i="5"/>
  <c r="I123" i="5" s="1"/>
  <c r="I128" i="5"/>
  <c r="J117" i="5"/>
  <c r="K143" i="5"/>
  <c r="K149" i="5" s="1"/>
  <c r="K150" i="5" s="1"/>
  <c r="J155" i="5"/>
  <c r="J149" i="5"/>
  <c r="J150" i="5" s="1"/>
  <c r="J144" i="5"/>
  <c r="J156" i="5"/>
  <c r="J170" i="5"/>
  <c r="K170" i="5" s="1"/>
  <c r="I176" i="5"/>
  <c r="I177" i="5" s="1"/>
  <c r="I182" i="5"/>
  <c r="I183" i="5" s="1"/>
  <c r="K197" i="5"/>
  <c r="L197" i="5" s="1"/>
  <c r="L198" i="5" s="1"/>
  <c r="J209" i="5"/>
  <c r="J203" i="5"/>
  <c r="J204" i="5" s="1"/>
  <c r="J210" i="5"/>
  <c r="H212" i="5"/>
  <c r="J198" i="5"/>
  <c r="K305" i="5"/>
  <c r="K311" i="5" s="1"/>
  <c r="K312" i="5" s="1"/>
  <c r="J317" i="5"/>
  <c r="J318" i="5" s="1"/>
  <c r="J311" i="5"/>
  <c r="J312" i="5" s="1"/>
  <c r="J306" i="5"/>
  <c r="K332" i="5"/>
  <c r="L332" i="5" s="1"/>
  <c r="L333" i="5" s="1"/>
  <c r="J344" i="5"/>
  <c r="J338" i="5"/>
  <c r="J339" i="5"/>
  <c r="J345" i="5"/>
  <c r="F425" i="5"/>
  <c r="G425" i="5" s="1"/>
  <c r="F419" i="5"/>
  <c r="G419" i="5" s="1"/>
  <c r="G413" i="5"/>
  <c r="F398" i="5"/>
  <c r="G398" i="5" s="1"/>
  <c r="F392" i="5"/>
  <c r="G392" i="5" s="1"/>
  <c r="G386" i="5"/>
  <c r="F365" i="5"/>
  <c r="G365" i="5" s="1"/>
  <c r="G359" i="5"/>
  <c r="F371" i="5"/>
  <c r="G371" i="5" s="1"/>
  <c r="F344" i="5"/>
  <c r="G344" i="5" s="1"/>
  <c r="F338" i="5"/>
  <c r="G338" i="5" s="1"/>
  <c r="G332" i="5"/>
  <c r="K344" i="5"/>
  <c r="K345" i="5" s="1"/>
  <c r="K333" i="5"/>
  <c r="H345" i="5"/>
  <c r="H347" i="5" s="1"/>
  <c r="K317" i="5"/>
  <c r="K318" i="5" s="1"/>
  <c r="K306" i="5"/>
  <c r="I318" i="5"/>
  <c r="I320" i="5" s="1"/>
  <c r="H318" i="5"/>
  <c r="F317" i="5"/>
  <c r="G317" i="5" s="1"/>
  <c r="F311" i="5"/>
  <c r="G311" i="5" s="1"/>
  <c r="G305" i="5"/>
  <c r="F290" i="5"/>
  <c r="G290" i="5" s="1"/>
  <c r="F284" i="5"/>
  <c r="G284" i="5" s="1"/>
  <c r="G278" i="5"/>
  <c r="F285" i="5"/>
  <c r="G8" i="5"/>
  <c r="F9" i="5"/>
  <c r="F14" i="5"/>
  <c r="F15" i="5" s="1"/>
  <c r="F20" i="5"/>
  <c r="F21" i="5" s="1"/>
  <c r="G35" i="5"/>
  <c r="F47" i="5"/>
  <c r="G47" i="5" s="1"/>
  <c r="F41" i="5"/>
  <c r="G41" i="5" s="1"/>
  <c r="F36" i="5"/>
  <c r="G36" i="5" s="1"/>
  <c r="K47" i="5"/>
  <c r="K48" i="5" s="1"/>
  <c r="J48" i="5"/>
  <c r="F74" i="5"/>
  <c r="G74" i="5" s="1"/>
  <c r="F68" i="5"/>
  <c r="G68" i="5" s="1"/>
  <c r="G62" i="5"/>
  <c r="F63" i="5"/>
  <c r="E69" i="5"/>
  <c r="G63" i="5"/>
  <c r="G89" i="5"/>
  <c r="F101" i="5"/>
  <c r="G101" i="5" s="1"/>
  <c r="F95" i="5"/>
  <c r="G95" i="5" s="1"/>
  <c r="F90" i="5"/>
  <c r="F96" i="5"/>
  <c r="G96" i="5" s="1"/>
  <c r="F102" i="5"/>
  <c r="G102" i="5" s="1"/>
  <c r="L89" i="5"/>
  <c r="L90" i="5" s="1"/>
  <c r="K95" i="5"/>
  <c r="K101" i="5"/>
  <c r="K102" i="5" s="1"/>
  <c r="K96" i="5"/>
  <c r="K90" i="5"/>
  <c r="J101" i="5"/>
  <c r="J95" i="5"/>
  <c r="J90" i="5"/>
  <c r="J96" i="5"/>
  <c r="J102" i="5"/>
  <c r="I129" i="5"/>
  <c r="F128" i="5"/>
  <c r="G128" i="5" s="1"/>
  <c r="F122" i="5"/>
  <c r="G122" i="5" s="1"/>
  <c r="G116" i="5"/>
  <c r="F129" i="5"/>
  <c r="F117" i="5"/>
  <c r="L143" i="5"/>
  <c r="L144" i="5" s="1"/>
  <c r="K155" i="5"/>
  <c r="K156" i="5" s="1"/>
  <c r="I156" i="5"/>
  <c r="F155" i="5"/>
  <c r="G155" i="5" s="1"/>
  <c r="F149" i="5"/>
  <c r="G149" i="5" s="1"/>
  <c r="G143" i="5"/>
  <c r="F150" i="5"/>
  <c r="G150" i="5" s="1"/>
  <c r="F156" i="5"/>
  <c r="G156" i="5" s="1"/>
  <c r="F182" i="5"/>
  <c r="G182" i="5" s="1"/>
  <c r="F176" i="5"/>
  <c r="G176" i="5" s="1"/>
  <c r="G170" i="5"/>
  <c r="L170" i="5"/>
  <c r="K182" i="5"/>
  <c r="K183" i="5" s="1"/>
  <c r="K176" i="5"/>
  <c r="K177" i="5" s="1"/>
  <c r="K171" i="5"/>
  <c r="J171" i="5"/>
  <c r="L171" i="5"/>
  <c r="J176" i="5"/>
  <c r="J177" i="5" s="1"/>
  <c r="J182" i="5"/>
  <c r="J183" i="5" s="1"/>
  <c r="K209" i="5"/>
  <c r="K210" i="5" s="1"/>
  <c r="I204" i="5"/>
  <c r="I210" i="5"/>
  <c r="F209" i="5"/>
  <c r="G209" i="5" s="1"/>
  <c r="F203" i="5"/>
  <c r="G203" i="5" s="1"/>
  <c r="G197" i="5"/>
  <c r="F204" i="5"/>
  <c r="G204" i="5" s="1"/>
  <c r="D231" i="5"/>
  <c r="F257" i="5"/>
  <c r="G257" i="5" s="1"/>
  <c r="G251" i="5"/>
  <c r="F263" i="5"/>
  <c r="G263" i="5" s="1"/>
  <c r="J251" i="5"/>
  <c r="J257" i="5" s="1"/>
  <c r="J258" i="5" s="1"/>
  <c r="I263" i="5"/>
  <c r="I257" i="5"/>
  <c r="I258" i="5" s="1"/>
  <c r="I252" i="5"/>
  <c r="I264" i="5"/>
  <c r="K251" i="5"/>
  <c r="K252" i="5" s="1"/>
  <c r="C414" i="5"/>
  <c r="G424" i="5"/>
  <c r="G418" i="5"/>
  <c r="C387" i="5"/>
  <c r="G397" i="5"/>
  <c r="G391" i="5"/>
  <c r="C360" i="5"/>
  <c r="G370" i="5"/>
  <c r="G364" i="5"/>
  <c r="C333" i="5"/>
  <c r="G343" i="5"/>
  <c r="G337" i="5"/>
  <c r="C306" i="5"/>
  <c r="G316" i="5"/>
  <c r="G310" i="5"/>
  <c r="C279" i="5"/>
  <c r="G285" i="5"/>
  <c r="G289" i="5"/>
  <c r="G283" i="5"/>
  <c r="G262" i="5"/>
  <c r="G256" i="5"/>
  <c r="G235" i="5"/>
  <c r="G229" i="5"/>
  <c r="C198" i="5"/>
  <c r="G208" i="5"/>
  <c r="G202" i="5"/>
  <c r="C171" i="5"/>
  <c r="G181" i="5"/>
  <c r="G175" i="5"/>
  <c r="D158" i="5"/>
  <c r="D162" i="5" s="1"/>
  <c r="D441" i="5" s="1"/>
  <c r="I158" i="5"/>
  <c r="C144" i="5"/>
  <c r="G154" i="5"/>
  <c r="G148" i="5"/>
  <c r="H123" i="5"/>
  <c r="D131" i="5"/>
  <c r="G129" i="5"/>
  <c r="C117" i="5"/>
  <c r="G115" i="5"/>
  <c r="G127" i="5"/>
  <c r="G121" i="5"/>
  <c r="G100" i="5"/>
  <c r="G94" i="5"/>
  <c r="C23" i="5"/>
  <c r="C27" i="5" s="1"/>
  <c r="C436" i="5" s="1"/>
  <c r="H128" i="1"/>
  <c r="T15" i="1"/>
  <c r="AJ194" i="1"/>
  <c r="AL196" i="1"/>
  <c r="AL195" i="1"/>
  <c r="AL194" i="1"/>
  <c r="AN196" i="1"/>
  <c r="AN195" i="1"/>
  <c r="AN194" i="1"/>
  <c r="AN198" i="1"/>
  <c r="AN197" i="1"/>
  <c r="D189" i="1"/>
  <c r="D190" i="1" s="1"/>
  <c r="D14" i="11" s="1"/>
  <c r="D36" i="1"/>
  <c r="D37" i="1" s="1"/>
  <c r="AI9" i="1"/>
  <c r="D10" i="1"/>
  <c r="P20" i="1"/>
  <c r="P18" i="7" s="1"/>
  <c r="X18" i="1"/>
  <c r="G20" i="1"/>
  <c r="AK195" i="1"/>
  <c r="AK194" i="1"/>
  <c r="AM197" i="1"/>
  <c r="AM196" i="1"/>
  <c r="AM195" i="1"/>
  <c r="AM194" i="1"/>
  <c r="AO198" i="1"/>
  <c r="AO197" i="1"/>
  <c r="AO199" i="1"/>
  <c r="AO196" i="1"/>
  <c r="AO195" i="1"/>
  <c r="AO194" i="1"/>
  <c r="C28" i="1"/>
  <c r="C32" i="1" s="1"/>
  <c r="C20" i="7" s="1"/>
  <c r="T13" i="1"/>
  <c r="W23" i="1"/>
  <c r="O25" i="1"/>
  <c r="C36" i="1"/>
  <c r="AI40" i="1"/>
  <c r="AI22" i="7" s="1"/>
  <c r="T43" i="1"/>
  <c r="I46" i="1"/>
  <c r="AI46" i="1"/>
  <c r="AI24" i="7" s="1"/>
  <c r="AI49" i="1"/>
  <c r="AI25" i="7" s="1"/>
  <c r="AF19" i="1"/>
  <c r="AC23" i="1"/>
  <c r="C190" i="1"/>
  <c r="C14" i="11" s="1"/>
  <c r="Z36" i="1"/>
  <c r="AB36" i="1"/>
  <c r="AD36" i="1"/>
  <c r="AF36" i="1"/>
  <c r="C37" i="1"/>
  <c r="C21" i="7" s="1"/>
  <c r="AI43" i="1"/>
  <c r="AI23" i="7" s="1"/>
  <c r="C146" i="1"/>
  <c r="Q91" i="1"/>
  <c r="T101" i="1"/>
  <c r="AH110" i="1"/>
  <c r="AH29" i="7" s="1"/>
  <c r="G117" i="1"/>
  <c r="AJ124" i="1"/>
  <c r="AJ33" i="7" s="1"/>
  <c r="AK132" i="1"/>
  <c r="AK35" i="7" s="1"/>
  <c r="Q140" i="1"/>
  <c r="D141" i="1"/>
  <c r="Q143" i="1"/>
  <c r="D144" i="1"/>
  <c r="U156" i="1"/>
  <c r="V156" i="1" s="1"/>
  <c r="W156" i="1" s="1"/>
  <c r="X156" i="1" s="1"/>
  <c r="Y156" i="1" s="1"/>
  <c r="Z156" i="1" s="1"/>
  <c r="AA156" i="1" s="1"/>
  <c r="AB156" i="1" s="1"/>
  <c r="AC156" i="1" s="1"/>
  <c r="AD156" i="1" s="1"/>
  <c r="AE156" i="1" s="1"/>
  <c r="AF156" i="1" s="1"/>
  <c r="T156" i="1"/>
  <c r="E91" i="1"/>
  <c r="AF113" i="1"/>
  <c r="AF30" i="7" s="1"/>
  <c r="AH113" i="1"/>
  <c r="AH30" i="7" s="1"/>
  <c r="AI121" i="1"/>
  <c r="AI32" i="7" s="1"/>
  <c r="AG132" i="1"/>
  <c r="R188" i="1"/>
  <c r="G123" i="5" l="1"/>
  <c r="G72" i="1"/>
  <c r="G21" i="5"/>
  <c r="D23" i="5"/>
  <c r="D27" i="5" s="1"/>
  <c r="D436" i="5" s="1"/>
  <c r="G436" i="5" s="1"/>
  <c r="E374" i="5"/>
  <c r="E378" i="5" s="1"/>
  <c r="E449" i="5" s="1"/>
  <c r="K203" i="5"/>
  <c r="K204" i="5" s="1"/>
  <c r="F131" i="5"/>
  <c r="F69" i="5"/>
  <c r="G69" i="5" s="1"/>
  <c r="AI105" i="1"/>
  <c r="D347" i="5"/>
  <c r="D351" i="5" s="1"/>
  <c r="D448" i="5" s="1"/>
  <c r="E320" i="5"/>
  <c r="E324" i="5" s="1"/>
  <c r="E447" i="5" s="1"/>
  <c r="E162" i="5"/>
  <c r="E441" i="5" s="1"/>
  <c r="I69" i="1"/>
  <c r="D135" i="5"/>
  <c r="D440" i="5" s="1"/>
  <c r="K198" i="5"/>
  <c r="F123" i="5"/>
  <c r="F48" i="5"/>
  <c r="G48" i="5" s="1"/>
  <c r="G9" i="5"/>
  <c r="H104" i="5"/>
  <c r="H77" i="5"/>
  <c r="AH105" i="1"/>
  <c r="Q105" i="1"/>
  <c r="D374" i="5"/>
  <c r="D378" i="5" s="1"/>
  <c r="D449" i="5" s="1"/>
  <c r="H266" i="5"/>
  <c r="E131" i="5"/>
  <c r="E135" i="5" s="1"/>
  <c r="E440" i="5" s="1"/>
  <c r="H131" i="5"/>
  <c r="D239" i="5"/>
  <c r="D243" i="5" s="1"/>
  <c r="D444" i="5" s="1"/>
  <c r="F177" i="5"/>
  <c r="G177" i="5" s="1"/>
  <c r="F42" i="5"/>
  <c r="G42" i="5" s="1"/>
  <c r="H320" i="5"/>
  <c r="L305" i="5"/>
  <c r="L306" i="5" s="1"/>
  <c r="F339" i="5"/>
  <c r="G339" i="5" s="1"/>
  <c r="AJ105" i="1"/>
  <c r="AK105" i="1" s="1"/>
  <c r="AL105" i="1" s="1"/>
  <c r="AM105" i="1" s="1"/>
  <c r="D428" i="5"/>
  <c r="D432" i="5" s="1"/>
  <c r="D451" i="5" s="1"/>
  <c r="D320" i="5"/>
  <c r="D324" i="5" s="1"/>
  <c r="D447" i="5" s="1"/>
  <c r="D266" i="5"/>
  <c r="D270" i="5" s="1"/>
  <c r="D445" i="5" s="1"/>
  <c r="H185" i="5"/>
  <c r="G7" i="5"/>
  <c r="J22" i="7"/>
  <c r="F75" i="5"/>
  <c r="G75" i="5" s="1"/>
  <c r="F345" i="5"/>
  <c r="G345" i="5" s="1"/>
  <c r="F393" i="5"/>
  <c r="G393" i="5" s="1"/>
  <c r="F420" i="5"/>
  <c r="G420" i="5" s="1"/>
  <c r="J50" i="5"/>
  <c r="G102" i="1"/>
  <c r="H365" i="5"/>
  <c r="H366" i="5" s="1"/>
  <c r="I359" i="5"/>
  <c r="H371" i="5"/>
  <c r="H372" i="5" s="1"/>
  <c r="I386" i="5"/>
  <c r="H398" i="5"/>
  <c r="H399" i="5" s="1"/>
  <c r="H401" i="5" s="1"/>
  <c r="H392" i="5"/>
  <c r="H393" i="5" s="1"/>
  <c r="E225" i="5"/>
  <c r="I50" i="5"/>
  <c r="G114" i="5"/>
  <c r="F141" i="5"/>
  <c r="Q100" i="1"/>
  <c r="I131" i="5"/>
  <c r="F100" i="1"/>
  <c r="G100" i="1" s="1"/>
  <c r="G107" i="1" s="1"/>
  <c r="E428" i="5"/>
  <c r="E432" i="5" s="1"/>
  <c r="E451" i="5" s="1"/>
  <c r="I387" i="5"/>
  <c r="F224" i="5"/>
  <c r="E230" i="5"/>
  <c r="E231" i="5" s="1"/>
  <c r="E236" i="5"/>
  <c r="E237" i="5" s="1"/>
  <c r="E401" i="5"/>
  <c r="E405" i="5" s="1"/>
  <c r="E450" i="5" s="1"/>
  <c r="H419" i="5"/>
  <c r="H420" i="5" s="1"/>
  <c r="I413" i="5"/>
  <c r="I414" i="5" s="1"/>
  <c r="H425" i="5"/>
  <c r="H426" i="5" s="1"/>
  <c r="C90" i="5"/>
  <c r="G88" i="5"/>
  <c r="F106" i="5"/>
  <c r="F52" i="5"/>
  <c r="F79" i="5"/>
  <c r="G25" i="5"/>
  <c r="H25" i="5" s="1"/>
  <c r="C50" i="5"/>
  <c r="C54" i="5" s="1"/>
  <c r="C437" i="5" s="1"/>
  <c r="F23" i="16"/>
  <c r="E142" i="1"/>
  <c r="E144" i="1" s="1"/>
  <c r="AH128" i="1"/>
  <c r="AH129" i="1" s="1"/>
  <c r="AH34" i="7" s="1"/>
  <c r="G104" i="1"/>
  <c r="G101" i="1"/>
  <c r="G139" i="1"/>
  <c r="F76" i="1"/>
  <c r="F26" i="7" s="1"/>
  <c r="E76" i="1"/>
  <c r="E26" i="7" s="1"/>
  <c r="S106" i="1"/>
  <c r="R106" i="1"/>
  <c r="Q106" i="1"/>
  <c r="AG106" i="1"/>
  <c r="AF105" i="1"/>
  <c r="AD105" i="1"/>
  <c r="AB105" i="1"/>
  <c r="Z105" i="1"/>
  <c r="X105" i="1"/>
  <c r="V105" i="1"/>
  <c r="AE105" i="1"/>
  <c r="AC105" i="1"/>
  <c r="AA105" i="1"/>
  <c r="Y105" i="1"/>
  <c r="W105" i="1"/>
  <c r="U105" i="1"/>
  <c r="E146" i="1"/>
  <c r="G70" i="1"/>
  <c r="H63" i="1"/>
  <c r="G65" i="1"/>
  <c r="J46" i="1"/>
  <c r="I24" i="7"/>
  <c r="T25" i="1"/>
  <c r="O19" i="7"/>
  <c r="S128" i="1"/>
  <c r="S17" i="7"/>
  <c r="F89" i="1"/>
  <c r="E189" i="1"/>
  <c r="E190" i="1" s="1"/>
  <c r="E14" i="11" s="1"/>
  <c r="E10" i="1"/>
  <c r="E16" i="7" s="1"/>
  <c r="F8" i="1"/>
  <c r="G8" i="1" s="1"/>
  <c r="E28" i="1"/>
  <c r="E32" i="1" s="1"/>
  <c r="E20" i="7" s="1"/>
  <c r="D28" i="1"/>
  <c r="D32" i="1" s="1"/>
  <c r="D20" i="7" s="1"/>
  <c r="D16" i="7"/>
  <c r="D21" i="7"/>
  <c r="E293" i="5"/>
  <c r="E463" i="5"/>
  <c r="E465" i="5" s="1"/>
  <c r="E8" i="7" s="1"/>
  <c r="D293" i="5"/>
  <c r="D463" i="5"/>
  <c r="D465" i="5" s="1"/>
  <c r="I278" i="5"/>
  <c r="H290" i="5"/>
  <c r="H291" i="5" s="1"/>
  <c r="H284" i="5"/>
  <c r="H285" i="5" s="1"/>
  <c r="E11" i="11"/>
  <c r="E12" i="11" s="1"/>
  <c r="E46" i="7"/>
  <c r="F141" i="1"/>
  <c r="C11" i="11"/>
  <c r="C46" i="7"/>
  <c r="K41" i="5"/>
  <c r="K42" i="5" s="1"/>
  <c r="I77" i="5"/>
  <c r="K62" i="5"/>
  <c r="J68" i="5"/>
  <c r="J69" i="5" s="1"/>
  <c r="J74" i="5"/>
  <c r="J75" i="5" s="1"/>
  <c r="K116" i="5"/>
  <c r="J122" i="5"/>
  <c r="J123" i="5" s="1"/>
  <c r="J128" i="5"/>
  <c r="J129" i="5" s="1"/>
  <c r="K144" i="5"/>
  <c r="K158" i="5" s="1"/>
  <c r="J158" i="5"/>
  <c r="I185" i="5"/>
  <c r="I212" i="5"/>
  <c r="J212" i="5"/>
  <c r="J320" i="5"/>
  <c r="K338" i="5"/>
  <c r="K339" i="5" s="1"/>
  <c r="K347" i="5" s="1"/>
  <c r="J347" i="5"/>
  <c r="F426" i="5"/>
  <c r="G426" i="5" s="1"/>
  <c r="F399" i="5"/>
  <c r="G399" i="5" s="1"/>
  <c r="F366" i="5"/>
  <c r="G366" i="5" s="1"/>
  <c r="F372" i="5"/>
  <c r="G372" i="5" s="1"/>
  <c r="L338" i="5"/>
  <c r="L339" i="5" s="1"/>
  <c r="M332" i="5"/>
  <c r="L344" i="5"/>
  <c r="L345" i="5" s="1"/>
  <c r="F312" i="5"/>
  <c r="G312" i="5" s="1"/>
  <c r="K320" i="5"/>
  <c r="L317" i="5"/>
  <c r="L318" i="5" s="1"/>
  <c r="M305" i="5"/>
  <c r="L311" i="5"/>
  <c r="L312" i="5" s="1"/>
  <c r="L320" i="5" s="1"/>
  <c r="F318" i="5"/>
  <c r="G318" i="5" s="1"/>
  <c r="F291" i="5"/>
  <c r="G291" i="5" s="1"/>
  <c r="F23" i="5"/>
  <c r="F27" i="5" s="1"/>
  <c r="F436" i="5" s="1"/>
  <c r="G20" i="5"/>
  <c r="G14" i="5"/>
  <c r="F50" i="5"/>
  <c r="K50" i="5"/>
  <c r="M35" i="5"/>
  <c r="L47" i="5"/>
  <c r="L48" i="5" s="1"/>
  <c r="L41" i="5"/>
  <c r="L42" i="5" s="1"/>
  <c r="E77" i="5"/>
  <c r="F77" i="5"/>
  <c r="F81" i="5" s="1"/>
  <c r="F438" i="5" s="1"/>
  <c r="F104" i="5"/>
  <c r="K104" i="5"/>
  <c r="L101" i="5"/>
  <c r="L102" i="5" s="1"/>
  <c r="M89" i="5"/>
  <c r="L95" i="5"/>
  <c r="L96" i="5" s="1"/>
  <c r="J104" i="5"/>
  <c r="L155" i="5"/>
  <c r="L156" i="5" s="1"/>
  <c r="M143" i="5"/>
  <c r="L149" i="5"/>
  <c r="L150" i="5" s="1"/>
  <c r="F183" i="5"/>
  <c r="J185" i="5"/>
  <c r="K185" i="5"/>
  <c r="M170" i="5"/>
  <c r="L182" i="5"/>
  <c r="L183" i="5" s="1"/>
  <c r="L176" i="5"/>
  <c r="L177" i="5" s="1"/>
  <c r="K212" i="5"/>
  <c r="L209" i="5"/>
  <c r="L210" i="5" s="1"/>
  <c r="M197" i="5"/>
  <c r="L203" i="5"/>
  <c r="L204" i="5" s="1"/>
  <c r="L212" i="5" s="1"/>
  <c r="F210" i="5"/>
  <c r="G210" i="5" s="1"/>
  <c r="F258" i="5"/>
  <c r="G258" i="5" s="1"/>
  <c r="F264" i="5"/>
  <c r="G264" i="5" s="1"/>
  <c r="J263" i="5"/>
  <c r="J264" i="5" s="1"/>
  <c r="J252" i="5"/>
  <c r="I266" i="5"/>
  <c r="K263" i="5"/>
  <c r="K264" i="5" s="1"/>
  <c r="L251" i="5"/>
  <c r="K257" i="5"/>
  <c r="K258" i="5" s="1"/>
  <c r="K266" i="5" s="1"/>
  <c r="C428" i="5"/>
  <c r="C401" i="5"/>
  <c r="C374" i="5"/>
  <c r="C347" i="5"/>
  <c r="C320" i="5"/>
  <c r="C293" i="5"/>
  <c r="C266" i="5"/>
  <c r="C239" i="5"/>
  <c r="C212" i="5"/>
  <c r="C185" i="5"/>
  <c r="C158" i="5"/>
  <c r="C131" i="5"/>
  <c r="G117" i="5"/>
  <c r="AJ121" i="1"/>
  <c r="AJ32" i="7" s="1"/>
  <c r="E27" i="7"/>
  <c r="F91" i="1"/>
  <c r="AG156" i="1"/>
  <c r="AH156" i="1"/>
  <c r="AI156" i="1" s="1"/>
  <c r="AJ156" i="1" s="1"/>
  <c r="AK156" i="1" s="1"/>
  <c r="AL156" i="1" s="1"/>
  <c r="AM156" i="1" s="1"/>
  <c r="AN156" i="1" s="1"/>
  <c r="AO156" i="1" s="1"/>
  <c r="R140" i="1"/>
  <c r="AL132" i="1"/>
  <c r="AL35" i="7" s="1"/>
  <c r="R91" i="1"/>
  <c r="AJ49" i="1"/>
  <c r="AJ25" i="7" s="1"/>
  <c r="AJ40" i="1"/>
  <c r="AJ22" i="7" s="1"/>
  <c r="S20" i="1"/>
  <c r="T18" i="1"/>
  <c r="S188" i="1"/>
  <c r="AI113" i="1"/>
  <c r="AI30" i="7" s="1"/>
  <c r="R143" i="1"/>
  <c r="D146" i="1"/>
  <c r="AK124" i="1"/>
  <c r="AK33" i="7" s="1"/>
  <c r="AI110" i="1"/>
  <c r="AI29" i="7" s="1"/>
  <c r="G141" i="1"/>
  <c r="AJ43" i="1"/>
  <c r="AJ23" i="7" s="1"/>
  <c r="AC25" i="1"/>
  <c r="AC19" i="7" s="1"/>
  <c r="AD23" i="1"/>
  <c r="AJ46" i="1"/>
  <c r="AJ24" i="7" s="1"/>
  <c r="X23" i="1"/>
  <c r="W25" i="1"/>
  <c r="W19" i="7" s="1"/>
  <c r="U15" i="1"/>
  <c r="U17" i="7" s="1"/>
  <c r="V13" i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X20" i="1"/>
  <c r="X18" i="7" s="1"/>
  <c r="Y18" i="1"/>
  <c r="AI128" i="1"/>
  <c r="AI129" i="1" s="1"/>
  <c r="AI34" i="7" s="1"/>
  <c r="AJ9" i="1"/>
  <c r="D128" i="1"/>
  <c r="J69" i="1" l="1"/>
  <c r="L158" i="5"/>
  <c r="L104" i="5"/>
  <c r="F108" i="5"/>
  <c r="F439" i="5" s="1"/>
  <c r="H293" i="5"/>
  <c r="K22" i="7"/>
  <c r="L185" i="5"/>
  <c r="G23" i="5"/>
  <c r="J77" i="5"/>
  <c r="F160" i="5"/>
  <c r="G79" i="5"/>
  <c r="G106" i="5"/>
  <c r="F187" i="5"/>
  <c r="G90" i="5"/>
  <c r="C104" i="5"/>
  <c r="C108" i="5" s="1"/>
  <c r="H428" i="5"/>
  <c r="G141" i="5"/>
  <c r="F168" i="5"/>
  <c r="F142" i="5"/>
  <c r="J386" i="5"/>
  <c r="I392" i="5"/>
  <c r="I393" i="5" s="1"/>
  <c r="I398" i="5"/>
  <c r="I399" i="5" s="1"/>
  <c r="H374" i="5"/>
  <c r="I25" i="5"/>
  <c r="H106" i="5"/>
  <c r="H79" i="5"/>
  <c r="H52" i="5"/>
  <c r="G52" i="5"/>
  <c r="F133" i="5"/>
  <c r="I425" i="5"/>
  <c r="I426" i="5" s="1"/>
  <c r="I419" i="5"/>
  <c r="I420" i="5" s="1"/>
  <c r="J413" i="5"/>
  <c r="H224" i="5"/>
  <c r="F230" i="5"/>
  <c r="G224" i="5"/>
  <c r="F236" i="5"/>
  <c r="R100" i="1"/>
  <c r="Q107" i="1"/>
  <c r="Q28" i="7" s="1"/>
  <c r="E239" i="5"/>
  <c r="E243" i="5" s="1"/>
  <c r="E444" i="5" s="1"/>
  <c r="J359" i="5"/>
  <c r="I371" i="5"/>
  <c r="I372" i="5" s="1"/>
  <c r="I365" i="5"/>
  <c r="I366" i="5" s="1"/>
  <c r="I360" i="5"/>
  <c r="C463" i="5"/>
  <c r="C465" i="5" s="1"/>
  <c r="C8" i="7" s="1"/>
  <c r="G23" i="16"/>
  <c r="H23" i="16" s="1"/>
  <c r="F142" i="1"/>
  <c r="G26" i="7"/>
  <c r="AH106" i="1"/>
  <c r="AH107" i="1" s="1"/>
  <c r="AD106" i="1"/>
  <c r="Z106" i="1"/>
  <c r="V106" i="1"/>
  <c r="AC106" i="1"/>
  <c r="Y106" i="1"/>
  <c r="U106" i="1"/>
  <c r="AF106" i="1"/>
  <c r="AB106" i="1"/>
  <c r="X106" i="1"/>
  <c r="AE106" i="1"/>
  <c r="AA106" i="1"/>
  <c r="W106" i="1"/>
  <c r="G76" i="1"/>
  <c r="I63" i="1"/>
  <c r="H65" i="1"/>
  <c r="H70" i="1"/>
  <c r="T20" i="1"/>
  <c r="S18" i="7"/>
  <c r="G89" i="1"/>
  <c r="F93" i="1"/>
  <c r="F27" i="7" s="1"/>
  <c r="G27" i="7" s="1"/>
  <c r="K46" i="1"/>
  <c r="J24" i="7"/>
  <c r="F10" i="1"/>
  <c r="F16" i="7" s="1"/>
  <c r="G16" i="7" s="1"/>
  <c r="F35" i="1"/>
  <c r="F36" i="1" s="1"/>
  <c r="F37" i="1" s="1"/>
  <c r="E128" i="1"/>
  <c r="D8" i="7"/>
  <c r="J278" i="5"/>
  <c r="I284" i="5"/>
  <c r="I285" i="5" s="1"/>
  <c r="I290" i="5"/>
  <c r="I291" i="5" s="1"/>
  <c r="I279" i="5"/>
  <c r="D297" i="5"/>
  <c r="D446" i="5" s="1"/>
  <c r="D452" i="5" s="1"/>
  <c r="D3" i="7" s="1"/>
  <c r="D456" i="5"/>
  <c r="D457" i="5" s="1"/>
  <c r="E297" i="5"/>
  <c r="E446" i="5" s="1"/>
  <c r="E456" i="5"/>
  <c r="E457" i="5" s="1"/>
  <c r="D11" i="11"/>
  <c r="D12" i="11" s="1"/>
  <c r="D46" i="7"/>
  <c r="C12" i="11"/>
  <c r="L50" i="5"/>
  <c r="L62" i="5"/>
  <c r="K68" i="5"/>
  <c r="K69" i="5" s="1"/>
  <c r="K74" i="5"/>
  <c r="K75" i="5" s="1"/>
  <c r="K63" i="5"/>
  <c r="J131" i="5"/>
  <c r="K122" i="5"/>
  <c r="K123" i="5" s="1"/>
  <c r="K117" i="5"/>
  <c r="L116" i="5"/>
  <c r="K128" i="5"/>
  <c r="K129" i="5" s="1"/>
  <c r="J266" i="5"/>
  <c r="L347" i="5"/>
  <c r="N332" i="5"/>
  <c r="O332" i="5" s="1"/>
  <c r="P332" i="5" s="1"/>
  <c r="Q332" i="5" s="1"/>
  <c r="R332" i="5" s="1"/>
  <c r="S332" i="5" s="1"/>
  <c r="M344" i="5"/>
  <c r="M345" i="5" s="1"/>
  <c r="M338" i="5"/>
  <c r="M339" i="5" s="1"/>
  <c r="M333" i="5"/>
  <c r="N305" i="5"/>
  <c r="O305" i="5" s="1"/>
  <c r="P305" i="5" s="1"/>
  <c r="Q305" i="5" s="1"/>
  <c r="R305" i="5" s="1"/>
  <c r="S305" i="5" s="1"/>
  <c r="M311" i="5"/>
  <c r="M312" i="5" s="1"/>
  <c r="M317" i="5"/>
  <c r="M318" i="5" s="1"/>
  <c r="M306" i="5"/>
  <c r="G27" i="5"/>
  <c r="H20" i="5"/>
  <c r="H21" i="5" s="1"/>
  <c r="I8" i="5"/>
  <c r="H14" i="5"/>
  <c r="H15" i="5" s="1"/>
  <c r="F54" i="5"/>
  <c r="G50" i="5"/>
  <c r="N35" i="5"/>
  <c r="O35" i="5" s="1"/>
  <c r="P35" i="5" s="1"/>
  <c r="Q35" i="5" s="1"/>
  <c r="R35" i="5" s="1"/>
  <c r="S35" i="5" s="1"/>
  <c r="M47" i="5"/>
  <c r="M48" i="5" s="1"/>
  <c r="M41" i="5"/>
  <c r="M42" i="5" s="1"/>
  <c r="M36" i="5"/>
  <c r="E81" i="5"/>
  <c r="G77" i="5"/>
  <c r="G104" i="5"/>
  <c r="N89" i="5"/>
  <c r="O89" i="5" s="1"/>
  <c r="P89" i="5" s="1"/>
  <c r="Q89" i="5" s="1"/>
  <c r="R89" i="5" s="1"/>
  <c r="S89" i="5" s="1"/>
  <c r="M95" i="5"/>
  <c r="M96" i="5" s="1"/>
  <c r="M101" i="5"/>
  <c r="M102" i="5" s="1"/>
  <c r="M90" i="5"/>
  <c r="N143" i="5"/>
  <c r="O143" i="5" s="1"/>
  <c r="P143" i="5" s="1"/>
  <c r="Q143" i="5" s="1"/>
  <c r="R143" i="5" s="1"/>
  <c r="S143" i="5" s="1"/>
  <c r="M149" i="5"/>
  <c r="M150" i="5" s="1"/>
  <c r="M155" i="5"/>
  <c r="M156" i="5" s="1"/>
  <c r="M144" i="5"/>
  <c r="G183" i="5"/>
  <c r="N170" i="5"/>
  <c r="O170" i="5" s="1"/>
  <c r="P170" i="5" s="1"/>
  <c r="Q170" i="5" s="1"/>
  <c r="R170" i="5" s="1"/>
  <c r="S170" i="5" s="1"/>
  <c r="M182" i="5"/>
  <c r="M183" i="5" s="1"/>
  <c r="M176" i="5"/>
  <c r="M177" i="5" s="1"/>
  <c r="M171" i="5"/>
  <c r="N197" i="5"/>
  <c r="O197" i="5" s="1"/>
  <c r="P197" i="5" s="1"/>
  <c r="Q197" i="5" s="1"/>
  <c r="R197" i="5" s="1"/>
  <c r="S197" i="5" s="1"/>
  <c r="M203" i="5"/>
  <c r="M204" i="5" s="1"/>
  <c r="M209" i="5"/>
  <c r="M210" i="5" s="1"/>
  <c r="M198" i="5"/>
  <c r="M251" i="5"/>
  <c r="N251" i="5" s="1"/>
  <c r="L257" i="5"/>
  <c r="L258" i="5" s="1"/>
  <c r="L263" i="5"/>
  <c r="L264" i="5" s="1"/>
  <c r="L252" i="5"/>
  <c r="C432" i="5"/>
  <c r="C451" i="5" s="1"/>
  <c r="C405" i="5"/>
  <c r="C378" i="5"/>
  <c r="C351" i="5"/>
  <c r="C324" i="5"/>
  <c r="C297" i="5"/>
  <c r="C446" i="5" s="1"/>
  <c r="C270" i="5"/>
  <c r="C243" i="5"/>
  <c r="C444" i="5" s="1"/>
  <c r="C216" i="5"/>
  <c r="C189" i="5"/>
  <c r="C442" i="5" s="1"/>
  <c r="C162" i="5"/>
  <c r="C135" i="5"/>
  <c r="G131" i="5"/>
  <c r="V15" i="1"/>
  <c r="V17" i="7" s="1"/>
  <c r="AK46" i="1"/>
  <c r="AK24" i="7" s="1"/>
  <c r="S143" i="1"/>
  <c r="AJ113" i="1"/>
  <c r="AJ30" i="7" s="1"/>
  <c r="F28" i="1"/>
  <c r="F32" i="1" s="1"/>
  <c r="F20" i="7" s="1"/>
  <c r="G20" i="7" s="1"/>
  <c r="F128" i="1"/>
  <c r="F189" i="1"/>
  <c r="AK40" i="1"/>
  <c r="AK22" i="7" s="1"/>
  <c r="AK49" i="1"/>
  <c r="AK25" i="7" s="1"/>
  <c r="AM132" i="1"/>
  <c r="AM35" i="7" s="1"/>
  <c r="S140" i="1"/>
  <c r="T140" i="1" s="1"/>
  <c r="AJ128" i="1"/>
  <c r="AJ129" i="1" s="1"/>
  <c r="AJ34" i="7" s="1"/>
  <c r="AK9" i="1"/>
  <c r="Y20" i="1"/>
  <c r="Y18" i="7" s="1"/>
  <c r="Z18" i="1"/>
  <c r="X25" i="1"/>
  <c r="X19" i="7" s="1"/>
  <c r="Y23" i="1"/>
  <c r="AD25" i="1"/>
  <c r="AD19" i="7" s="1"/>
  <c r="AE23" i="1"/>
  <c r="AK43" i="1"/>
  <c r="AK23" i="7" s="1"/>
  <c r="AJ110" i="1"/>
  <c r="AJ29" i="7" s="1"/>
  <c r="AL124" i="1"/>
  <c r="AL33" i="7" s="1"/>
  <c r="T188" i="1"/>
  <c r="U188" i="1" s="1"/>
  <c r="G35" i="1"/>
  <c r="G10" i="1"/>
  <c r="G28" i="1" s="1"/>
  <c r="G32" i="1" s="1"/>
  <c r="H8" i="1"/>
  <c r="H35" i="1" s="1"/>
  <c r="H37" i="1" s="1"/>
  <c r="S91" i="1"/>
  <c r="AK121" i="1"/>
  <c r="AK32" i="7" s="1"/>
  <c r="K131" i="5" l="1"/>
  <c r="G128" i="1"/>
  <c r="I401" i="5"/>
  <c r="H72" i="1"/>
  <c r="H76" i="1" s="1"/>
  <c r="H26" i="7" s="1"/>
  <c r="K69" i="1"/>
  <c r="T40" i="1"/>
  <c r="L22" i="7"/>
  <c r="M22" i="7"/>
  <c r="C443" i="5"/>
  <c r="C445" i="5"/>
  <c r="C450" i="5"/>
  <c r="J371" i="5"/>
  <c r="J372" i="5" s="1"/>
  <c r="K359" i="5"/>
  <c r="J365" i="5"/>
  <c r="J366" i="5" s="1"/>
  <c r="J360" i="5"/>
  <c r="G236" i="5"/>
  <c r="F237" i="5"/>
  <c r="G237" i="5" s="1"/>
  <c r="G230" i="5"/>
  <c r="F231" i="5"/>
  <c r="G231" i="5" s="1"/>
  <c r="J414" i="5"/>
  <c r="J419" i="5"/>
  <c r="J420" i="5" s="1"/>
  <c r="K413" i="5"/>
  <c r="J425" i="5"/>
  <c r="J426" i="5" s="1"/>
  <c r="H160" i="5"/>
  <c r="H81" i="5"/>
  <c r="H438" i="5" s="1"/>
  <c r="J25" i="5"/>
  <c r="I79" i="5"/>
  <c r="I106" i="5"/>
  <c r="I52" i="5"/>
  <c r="K386" i="5"/>
  <c r="J392" i="5"/>
  <c r="J393" i="5" s="1"/>
  <c r="J398" i="5"/>
  <c r="J399" i="5" s="1"/>
  <c r="J387" i="5"/>
  <c r="F144" i="5"/>
  <c r="G142" i="5"/>
  <c r="G160" i="5"/>
  <c r="F241" i="5"/>
  <c r="C440" i="5"/>
  <c r="C441" i="5"/>
  <c r="C447" i="5"/>
  <c r="C448" i="5"/>
  <c r="C449" i="5"/>
  <c r="G81" i="5"/>
  <c r="E438" i="5"/>
  <c r="G438" i="5" s="1"/>
  <c r="G54" i="5"/>
  <c r="F437" i="5"/>
  <c r="G437" i="5" s="1"/>
  <c r="I374" i="5"/>
  <c r="S100" i="1"/>
  <c r="R107" i="1"/>
  <c r="R28" i="7" s="1"/>
  <c r="I224" i="5"/>
  <c r="H230" i="5"/>
  <c r="H231" i="5" s="1"/>
  <c r="H236" i="5"/>
  <c r="H237" i="5" s="1"/>
  <c r="H225" i="5"/>
  <c r="I428" i="5"/>
  <c r="G133" i="5"/>
  <c r="F214" i="5"/>
  <c r="F135" i="5"/>
  <c r="F440" i="5" s="1"/>
  <c r="H133" i="5"/>
  <c r="H54" i="5"/>
  <c r="H437" i="5" s="1"/>
  <c r="H187" i="5"/>
  <c r="H108" i="5"/>
  <c r="H439" i="5" s="1"/>
  <c r="F195" i="5"/>
  <c r="G168" i="5"/>
  <c r="F169" i="5"/>
  <c r="G108" i="5"/>
  <c r="C439" i="5"/>
  <c r="G439" i="5" s="1"/>
  <c r="G187" i="5"/>
  <c r="F268" i="5"/>
  <c r="C456" i="5"/>
  <c r="C457" i="5" s="1"/>
  <c r="F144" i="1"/>
  <c r="G142" i="1"/>
  <c r="AI106" i="1"/>
  <c r="AI107" i="1" s="1"/>
  <c r="J63" i="1"/>
  <c r="I70" i="1"/>
  <c r="I72" i="1" s="1"/>
  <c r="I65" i="1"/>
  <c r="L46" i="1"/>
  <c r="K24" i="7"/>
  <c r="H89" i="1"/>
  <c r="G93" i="1"/>
  <c r="F21" i="7"/>
  <c r="G21" i="7" s="1"/>
  <c r="G37" i="1"/>
  <c r="H21" i="7" s="1"/>
  <c r="D37" i="7"/>
  <c r="D50" i="7"/>
  <c r="D13" i="7"/>
  <c r="D94" i="1"/>
  <c r="D47" i="1"/>
  <c r="D44" i="1"/>
  <c r="D41" i="1"/>
  <c r="D38" i="1"/>
  <c r="D40" i="7"/>
  <c r="D174" i="1"/>
  <c r="D133" i="1"/>
  <c r="D130" i="1"/>
  <c r="D125" i="1"/>
  <c r="D122" i="1"/>
  <c r="D114" i="1"/>
  <c r="D111" i="1"/>
  <c r="D77" i="1"/>
  <c r="D50" i="1"/>
  <c r="K278" i="5"/>
  <c r="J284" i="5"/>
  <c r="J285" i="5" s="1"/>
  <c r="J290" i="5"/>
  <c r="J291" i="5" s="1"/>
  <c r="J279" i="5"/>
  <c r="C6" i="7"/>
  <c r="E6" i="7"/>
  <c r="E10" i="7" s="1"/>
  <c r="D6" i="7"/>
  <c r="D10" i="7" s="1"/>
  <c r="D12" i="7" s="1"/>
  <c r="I293" i="5"/>
  <c r="K77" i="5"/>
  <c r="L63" i="5"/>
  <c r="L74" i="5"/>
  <c r="L75" i="5" s="1"/>
  <c r="M62" i="5"/>
  <c r="L68" i="5"/>
  <c r="L69" i="5" s="1"/>
  <c r="L117" i="5"/>
  <c r="M116" i="5"/>
  <c r="L128" i="5"/>
  <c r="L129" i="5" s="1"/>
  <c r="L122" i="5"/>
  <c r="L123" i="5" s="1"/>
  <c r="M347" i="5"/>
  <c r="M320" i="5"/>
  <c r="I14" i="5"/>
  <c r="I15" i="5" s="1"/>
  <c r="I20" i="5"/>
  <c r="I21" i="5" s="1"/>
  <c r="J8" i="5"/>
  <c r="M50" i="5"/>
  <c r="M104" i="5"/>
  <c r="M158" i="5"/>
  <c r="M185" i="5"/>
  <c r="M212" i="5"/>
  <c r="L266" i="5"/>
  <c r="M263" i="5"/>
  <c r="M264" i="5" s="1"/>
  <c r="M257" i="5"/>
  <c r="M258" i="5" s="1"/>
  <c r="M252" i="5"/>
  <c r="T91" i="1"/>
  <c r="H189" i="1"/>
  <c r="H190" i="1" s="1"/>
  <c r="H14" i="11" s="1"/>
  <c r="I8" i="1"/>
  <c r="I35" i="1" s="1"/>
  <c r="H10" i="1"/>
  <c r="H16" i="7" s="1"/>
  <c r="Z20" i="1"/>
  <c r="Z18" i="7" s="1"/>
  <c r="AA18" i="1"/>
  <c r="AK128" i="1"/>
  <c r="AK129" i="1" s="1"/>
  <c r="AK34" i="7" s="1"/>
  <c r="AL9" i="1"/>
  <c r="AK113" i="1"/>
  <c r="AK30" i="7" s="1"/>
  <c r="U143" i="1"/>
  <c r="T143" i="1"/>
  <c r="AL46" i="1"/>
  <c r="AL24" i="7" s="1"/>
  <c r="AL121" i="1"/>
  <c r="AL32" i="7" s="1"/>
  <c r="V188" i="1"/>
  <c r="AM124" i="1"/>
  <c r="AM33" i="7" s="1"/>
  <c r="AK110" i="1"/>
  <c r="AK29" i="7" s="1"/>
  <c r="AL43" i="1"/>
  <c r="AL23" i="7" s="1"/>
  <c r="AE25" i="1"/>
  <c r="AE19" i="7" s="1"/>
  <c r="AF23" i="1"/>
  <c r="Z23" i="1"/>
  <c r="Z25" i="1" s="1"/>
  <c r="Z19" i="7" s="1"/>
  <c r="Y25" i="1"/>
  <c r="Y19" i="7" s="1"/>
  <c r="U140" i="1"/>
  <c r="AN132" i="1"/>
  <c r="AN35" i="7" s="1"/>
  <c r="AL49" i="1"/>
  <c r="AL25" i="7" s="1"/>
  <c r="AL40" i="1"/>
  <c r="AL22" i="7" s="1"/>
  <c r="F190" i="1"/>
  <c r="G189" i="1"/>
  <c r="W15" i="1"/>
  <c r="W17" i="7" s="1"/>
  <c r="L77" i="5" l="1"/>
  <c r="H239" i="5"/>
  <c r="L69" i="1"/>
  <c r="J374" i="5"/>
  <c r="G268" i="5"/>
  <c r="F349" i="5"/>
  <c r="F171" i="5"/>
  <c r="G169" i="5"/>
  <c r="F222" i="5"/>
  <c r="G195" i="5"/>
  <c r="F196" i="5"/>
  <c r="G440" i="5"/>
  <c r="J401" i="5"/>
  <c r="I187" i="5"/>
  <c r="I108" i="5"/>
  <c r="I439" i="5" s="1"/>
  <c r="J106" i="5"/>
  <c r="J79" i="5"/>
  <c r="J52" i="5"/>
  <c r="K25" i="5"/>
  <c r="H241" i="5"/>
  <c r="H322" i="5" s="1"/>
  <c r="H162" i="5"/>
  <c r="H441" i="5" s="1"/>
  <c r="L413" i="5"/>
  <c r="K425" i="5"/>
  <c r="K426" i="5" s="1"/>
  <c r="K419" i="5"/>
  <c r="K420" i="5" s="1"/>
  <c r="K414" i="5"/>
  <c r="E452" i="5"/>
  <c r="E3" i="7" s="1"/>
  <c r="H268" i="5"/>
  <c r="H189" i="5"/>
  <c r="H442" i="5" s="1"/>
  <c r="H214" i="5"/>
  <c r="H135" i="5"/>
  <c r="H440" i="5" s="1"/>
  <c r="G214" i="5"/>
  <c r="F295" i="5"/>
  <c r="I230" i="5"/>
  <c r="I231" i="5" s="1"/>
  <c r="I236" i="5"/>
  <c r="I237" i="5" s="1"/>
  <c r="J224" i="5"/>
  <c r="I225" i="5"/>
  <c r="U100" i="1"/>
  <c r="S107" i="1"/>
  <c r="S28" i="7" s="1"/>
  <c r="T100" i="1"/>
  <c r="T107" i="1" s="1"/>
  <c r="G135" i="5"/>
  <c r="G241" i="5"/>
  <c r="F322" i="5"/>
  <c r="F158" i="5"/>
  <c r="G144" i="5"/>
  <c r="K398" i="5"/>
  <c r="K399" i="5" s="1"/>
  <c r="L386" i="5"/>
  <c r="K392" i="5"/>
  <c r="K393" i="5" s="1"/>
  <c r="K387" i="5"/>
  <c r="I133" i="5"/>
  <c r="I54" i="5"/>
  <c r="I437" i="5" s="1"/>
  <c r="I160" i="5"/>
  <c r="I81" i="5"/>
  <c r="I438" i="5" s="1"/>
  <c r="J428" i="5"/>
  <c r="K365" i="5"/>
  <c r="K366" i="5" s="1"/>
  <c r="L359" i="5"/>
  <c r="K371" i="5"/>
  <c r="K372" i="5" s="1"/>
  <c r="K360" i="5"/>
  <c r="C452" i="5"/>
  <c r="C3" i="7" s="1"/>
  <c r="G144" i="1"/>
  <c r="F146" i="1"/>
  <c r="I76" i="1"/>
  <c r="I26" i="7" s="1"/>
  <c r="AJ106" i="1"/>
  <c r="AJ107" i="1" s="1"/>
  <c r="K63" i="1"/>
  <c r="J65" i="1"/>
  <c r="J70" i="1"/>
  <c r="J72" i="1" s="1"/>
  <c r="I89" i="1"/>
  <c r="H93" i="1"/>
  <c r="H27" i="7" s="1"/>
  <c r="M46" i="1"/>
  <c r="L24" i="7"/>
  <c r="G190" i="1"/>
  <c r="G14" i="11" s="1"/>
  <c r="F14" i="11"/>
  <c r="C10" i="7"/>
  <c r="C12" i="7" s="1"/>
  <c r="J293" i="5"/>
  <c r="D182" i="1"/>
  <c r="D183" i="1" s="1"/>
  <c r="D8" i="16" s="1"/>
  <c r="D175" i="1"/>
  <c r="D7" i="16" s="1"/>
  <c r="L278" i="5"/>
  <c r="K279" i="5"/>
  <c r="K290" i="5"/>
  <c r="K291" i="5" s="1"/>
  <c r="K284" i="5"/>
  <c r="K285" i="5" s="1"/>
  <c r="N62" i="5"/>
  <c r="O62" i="5" s="1"/>
  <c r="P62" i="5" s="1"/>
  <c r="Q62" i="5" s="1"/>
  <c r="R62" i="5" s="1"/>
  <c r="S62" i="5" s="1"/>
  <c r="M68" i="5"/>
  <c r="M69" i="5" s="1"/>
  <c r="M74" i="5"/>
  <c r="M75" i="5" s="1"/>
  <c r="M63" i="5"/>
  <c r="L131" i="5"/>
  <c r="M122" i="5"/>
  <c r="M123" i="5" s="1"/>
  <c r="M117" i="5"/>
  <c r="N116" i="5"/>
  <c r="O116" i="5" s="1"/>
  <c r="P116" i="5" s="1"/>
  <c r="Q116" i="5" s="1"/>
  <c r="R116" i="5" s="1"/>
  <c r="S116" i="5" s="1"/>
  <c r="M128" i="5"/>
  <c r="M129" i="5" s="1"/>
  <c r="K8" i="5"/>
  <c r="J14" i="5"/>
  <c r="J15" i="5" s="1"/>
  <c r="J20" i="5"/>
  <c r="J21" i="5" s="1"/>
  <c r="M266" i="5"/>
  <c r="X15" i="1"/>
  <c r="X17" i="7" s="1"/>
  <c r="AM121" i="1"/>
  <c r="AM32" i="7" s="1"/>
  <c r="AM46" i="1"/>
  <c r="AM24" i="7" s="1"/>
  <c r="I10" i="1"/>
  <c r="J8" i="1"/>
  <c r="J35" i="1" s="1"/>
  <c r="AM40" i="1"/>
  <c r="AM22" i="7" s="1"/>
  <c r="AM49" i="1"/>
  <c r="AM25" i="7" s="1"/>
  <c r="AO132" i="1"/>
  <c r="AO35" i="7" s="1"/>
  <c r="V140" i="1"/>
  <c r="AF25" i="1"/>
  <c r="AG23" i="1"/>
  <c r="AH23" i="1" s="1"/>
  <c r="AM43" i="1"/>
  <c r="AM23" i="7" s="1"/>
  <c r="AL110" i="1"/>
  <c r="AL29" i="7" s="1"/>
  <c r="AN124" i="1"/>
  <c r="AN33" i="7" s="1"/>
  <c r="W188" i="1"/>
  <c r="V143" i="1"/>
  <c r="AL113" i="1"/>
  <c r="AL30" i="7" s="1"/>
  <c r="AL128" i="1"/>
  <c r="AL129" i="1" s="1"/>
  <c r="AL34" i="7" s="1"/>
  <c r="AM9" i="1"/>
  <c r="AA20" i="1"/>
  <c r="AA18" i="7" s="1"/>
  <c r="AB18" i="1"/>
  <c r="H28" i="1"/>
  <c r="H32" i="1" s="1"/>
  <c r="H20" i="7" s="1"/>
  <c r="U91" i="1"/>
  <c r="K428" i="5" l="1"/>
  <c r="M69" i="1"/>
  <c r="C174" i="1"/>
  <c r="C130" i="1"/>
  <c r="C122" i="1"/>
  <c r="C111" i="1"/>
  <c r="C50" i="1"/>
  <c r="C47" i="1"/>
  <c r="C41" i="1"/>
  <c r="C13" i="7"/>
  <c r="C37" i="7"/>
  <c r="C50" i="7"/>
  <c r="C133" i="1"/>
  <c r="C125" i="1"/>
  <c r="C114" i="1"/>
  <c r="C77" i="1"/>
  <c r="C94" i="1"/>
  <c r="C44" i="1"/>
  <c r="C38" i="1"/>
  <c r="C40" i="7"/>
  <c r="I241" i="5"/>
  <c r="I322" i="5" s="1"/>
  <c r="I162" i="5"/>
  <c r="I441" i="5" s="1"/>
  <c r="I214" i="5"/>
  <c r="I135" i="5"/>
  <c r="I440" i="5" s="1"/>
  <c r="F162" i="5"/>
  <c r="G158" i="5"/>
  <c r="U107" i="1"/>
  <c r="V100" i="1"/>
  <c r="J225" i="5"/>
  <c r="J230" i="5"/>
  <c r="J231" i="5" s="1"/>
  <c r="K224" i="5"/>
  <c r="J236" i="5"/>
  <c r="J237" i="5" s="1"/>
  <c r="I239" i="5"/>
  <c r="I243" i="5" s="1"/>
  <c r="I444" i="5" s="1"/>
  <c r="G295" i="5"/>
  <c r="F376" i="5"/>
  <c r="G376" i="5" s="1"/>
  <c r="E40" i="7"/>
  <c r="E174" i="1"/>
  <c r="E130" i="1"/>
  <c r="E122" i="1"/>
  <c r="E111" i="1"/>
  <c r="E50" i="1"/>
  <c r="E94" i="1"/>
  <c r="E44" i="1"/>
  <c r="E38" i="1"/>
  <c r="E13" i="7"/>
  <c r="E37" i="7"/>
  <c r="E133" i="1"/>
  <c r="E125" i="1"/>
  <c r="E114" i="1"/>
  <c r="E77" i="1"/>
  <c r="E50" i="7"/>
  <c r="E47" i="1"/>
  <c r="E41" i="1"/>
  <c r="L414" i="5"/>
  <c r="L425" i="5"/>
  <c r="L426" i="5" s="1"/>
  <c r="L419" i="5"/>
  <c r="L420" i="5" s="1"/>
  <c r="L428" i="5" s="1"/>
  <c r="M413" i="5"/>
  <c r="H403" i="5"/>
  <c r="H405" i="5" s="1"/>
  <c r="H450" i="5" s="1"/>
  <c r="H324" i="5"/>
  <c r="H447" i="5" s="1"/>
  <c r="J133" i="5"/>
  <c r="J54" i="5"/>
  <c r="J437" i="5" s="1"/>
  <c r="J187" i="5"/>
  <c r="J108" i="5"/>
  <c r="J439" i="5" s="1"/>
  <c r="I268" i="5"/>
  <c r="I189" i="5"/>
  <c r="I442" i="5" s="1"/>
  <c r="F198" i="5"/>
  <c r="G196" i="5"/>
  <c r="F249" i="5"/>
  <c r="G222" i="5"/>
  <c r="F223" i="5"/>
  <c r="G171" i="5"/>
  <c r="F185" i="5"/>
  <c r="K374" i="5"/>
  <c r="L360" i="5"/>
  <c r="L371" i="5"/>
  <c r="L372" i="5" s="1"/>
  <c r="L365" i="5"/>
  <c r="L366" i="5" s="1"/>
  <c r="L374" i="5" s="1"/>
  <c r="M359" i="5"/>
  <c r="K401" i="5"/>
  <c r="L387" i="5"/>
  <c r="L392" i="5"/>
  <c r="L393" i="5" s="1"/>
  <c r="L398" i="5"/>
  <c r="L399" i="5" s="1"/>
  <c r="M386" i="5"/>
  <c r="G322" i="5"/>
  <c r="F403" i="5"/>
  <c r="G403" i="5" s="1"/>
  <c r="H295" i="5"/>
  <c r="H216" i="5"/>
  <c r="H443" i="5" s="1"/>
  <c r="H349" i="5"/>
  <c r="H270" i="5"/>
  <c r="H445" i="5" s="1"/>
  <c r="K79" i="5"/>
  <c r="K106" i="5"/>
  <c r="K52" i="5"/>
  <c r="L25" i="5"/>
  <c r="J160" i="5"/>
  <c r="J81" i="5"/>
  <c r="J438" i="5" s="1"/>
  <c r="H243" i="5"/>
  <c r="H444" i="5" s="1"/>
  <c r="G349" i="5"/>
  <c r="F430" i="5"/>
  <c r="G430" i="5" s="1"/>
  <c r="E12" i="7"/>
  <c r="F11" i="11"/>
  <c r="F46" i="7"/>
  <c r="G46" i="7" s="1"/>
  <c r="G146" i="1"/>
  <c r="AK106" i="1"/>
  <c r="AL106" i="1" s="1"/>
  <c r="AM106" i="1" s="1"/>
  <c r="AN106" i="1" s="1"/>
  <c r="AO106" i="1" s="1"/>
  <c r="J76" i="1"/>
  <c r="J26" i="7" s="1"/>
  <c r="L63" i="1"/>
  <c r="K65" i="1"/>
  <c r="K70" i="1"/>
  <c r="K72" i="1" s="1"/>
  <c r="AG25" i="1"/>
  <c r="AF19" i="7"/>
  <c r="N46" i="1"/>
  <c r="M24" i="7"/>
  <c r="J89" i="1"/>
  <c r="I93" i="1"/>
  <c r="I27" i="7" s="1"/>
  <c r="I28" i="1"/>
  <c r="I32" i="1" s="1"/>
  <c r="I20" i="7" s="1"/>
  <c r="I16" i="7"/>
  <c r="K293" i="5"/>
  <c r="L279" i="5"/>
  <c r="M278" i="5"/>
  <c r="L284" i="5"/>
  <c r="L285" i="5" s="1"/>
  <c r="L290" i="5"/>
  <c r="L291" i="5" s="1"/>
  <c r="M77" i="5"/>
  <c r="M131" i="5"/>
  <c r="L8" i="5"/>
  <c r="K14" i="5"/>
  <c r="K15" i="5" s="1"/>
  <c r="K20" i="5"/>
  <c r="K21" i="5" s="1"/>
  <c r="K8" i="1"/>
  <c r="K35" i="1" s="1"/>
  <c r="J10" i="1"/>
  <c r="J16" i="7" s="1"/>
  <c r="I189" i="1"/>
  <c r="I190" i="1" s="1"/>
  <c r="I14" i="11" s="1"/>
  <c r="I37" i="1"/>
  <c r="I21" i="7" s="1"/>
  <c r="Y15" i="1"/>
  <c r="Y17" i="7" s="1"/>
  <c r="V91" i="1"/>
  <c r="AB20" i="1"/>
  <c r="AB18" i="7" s="1"/>
  <c r="AC18" i="1"/>
  <c r="AM128" i="1"/>
  <c r="AM129" i="1" s="1"/>
  <c r="AM34" i="7" s="1"/>
  <c r="AN9" i="1"/>
  <c r="W143" i="1"/>
  <c r="AO124" i="1"/>
  <c r="AO33" i="7" s="1"/>
  <c r="AM110" i="1"/>
  <c r="AM29" i="7" s="1"/>
  <c r="AN43" i="1"/>
  <c r="AN23" i="7" s="1"/>
  <c r="AH25" i="1"/>
  <c r="AH19" i="7" s="1"/>
  <c r="AI23" i="1"/>
  <c r="AM113" i="1"/>
  <c r="AM30" i="7" s="1"/>
  <c r="X188" i="1"/>
  <c r="U28" i="7"/>
  <c r="W140" i="1"/>
  <c r="AN49" i="1"/>
  <c r="AN25" i="7" s="1"/>
  <c r="AN40" i="1"/>
  <c r="AN22" i="7" s="1"/>
  <c r="AN46" i="1"/>
  <c r="AN24" i="7" s="1"/>
  <c r="AN121" i="1"/>
  <c r="AN32" i="7" s="1"/>
  <c r="N69" i="1" l="1"/>
  <c r="M25" i="5"/>
  <c r="L106" i="5"/>
  <c r="L79" i="5"/>
  <c r="L52" i="5"/>
  <c r="K187" i="5"/>
  <c r="K108" i="5"/>
  <c r="K439" i="5" s="1"/>
  <c r="H430" i="5"/>
  <c r="H432" i="5" s="1"/>
  <c r="H451" i="5" s="1"/>
  <c r="H351" i="5"/>
  <c r="H448" i="5" s="1"/>
  <c r="H376" i="5"/>
  <c r="H378" i="5" s="1"/>
  <c r="H449" i="5" s="1"/>
  <c r="H297" i="5"/>
  <c r="H446" i="5" s="1"/>
  <c r="L401" i="5"/>
  <c r="N359" i="5"/>
  <c r="O359" i="5" s="1"/>
  <c r="P359" i="5" s="1"/>
  <c r="Q359" i="5" s="1"/>
  <c r="R359" i="5" s="1"/>
  <c r="S359" i="5" s="1"/>
  <c r="M371" i="5"/>
  <c r="M372" i="5" s="1"/>
  <c r="M365" i="5"/>
  <c r="M366" i="5" s="1"/>
  <c r="M360" i="5"/>
  <c r="M419" i="5"/>
  <c r="M420" i="5" s="1"/>
  <c r="M414" i="5"/>
  <c r="N413" i="5"/>
  <c r="O413" i="5" s="1"/>
  <c r="P413" i="5" s="1"/>
  <c r="Q413" i="5" s="1"/>
  <c r="R413" i="5" s="1"/>
  <c r="S413" i="5" s="1"/>
  <c r="M425" i="5"/>
  <c r="M426" i="5" s="1"/>
  <c r="E182" i="1"/>
  <c r="E183" i="1" s="1"/>
  <c r="E8" i="16" s="1"/>
  <c r="E6" i="11" s="1"/>
  <c r="E175" i="1"/>
  <c r="E7" i="16" s="1"/>
  <c r="L224" i="5"/>
  <c r="K230" i="5"/>
  <c r="K231" i="5" s="1"/>
  <c r="K236" i="5"/>
  <c r="K237" i="5" s="1"/>
  <c r="K225" i="5"/>
  <c r="W100" i="1"/>
  <c r="V107" i="1"/>
  <c r="F441" i="5"/>
  <c r="G441" i="5" s="1"/>
  <c r="G162" i="5"/>
  <c r="I295" i="5"/>
  <c r="I216" i="5"/>
  <c r="I443" i="5" s="1"/>
  <c r="I403" i="5"/>
  <c r="I405" i="5" s="1"/>
  <c r="I450" i="5" s="1"/>
  <c r="I324" i="5"/>
  <c r="I447" i="5" s="1"/>
  <c r="J241" i="5"/>
  <c r="J322" i="5" s="1"/>
  <c r="J162" i="5"/>
  <c r="J441" i="5" s="1"/>
  <c r="K133" i="5"/>
  <c r="K54" i="5"/>
  <c r="K437" i="5" s="1"/>
  <c r="K160" i="5"/>
  <c r="K81" i="5"/>
  <c r="K438" i="5" s="1"/>
  <c r="N386" i="5"/>
  <c r="O386" i="5" s="1"/>
  <c r="P386" i="5" s="1"/>
  <c r="Q386" i="5" s="1"/>
  <c r="R386" i="5" s="1"/>
  <c r="S386" i="5" s="1"/>
  <c r="M392" i="5"/>
  <c r="M393" i="5" s="1"/>
  <c r="M398" i="5"/>
  <c r="M399" i="5" s="1"/>
  <c r="M387" i="5"/>
  <c r="F189" i="5"/>
  <c r="G185" i="5"/>
  <c r="F225" i="5"/>
  <c r="G223" i="5"/>
  <c r="F276" i="5"/>
  <c r="G249" i="5"/>
  <c r="F250" i="5"/>
  <c r="G198" i="5"/>
  <c r="F212" i="5"/>
  <c r="I349" i="5"/>
  <c r="I270" i="5"/>
  <c r="I445" i="5" s="1"/>
  <c r="J268" i="5"/>
  <c r="J189" i="5"/>
  <c r="J442" i="5" s="1"/>
  <c r="J214" i="5"/>
  <c r="J135" i="5"/>
  <c r="J440" i="5" s="1"/>
  <c r="J239" i="5"/>
  <c r="J243" i="5" s="1"/>
  <c r="J444" i="5" s="1"/>
  <c r="C182" i="1"/>
  <c r="C183" i="1" s="1"/>
  <c r="C175" i="1"/>
  <c r="C7" i="16" s="1"/>
  <c r="F12" i="11"/>
  <c r="G11" i="11"/>
  <c r="G12" i="11" s="1"/>
  <c r="K76" i="1"/>
  <c r="K26" i="7" s="1"/>
  <c r="L70" i="1"/>
  <c r="L72" i="1" s="1"/>
  <c r="M63" i="1"/>
  <c r="L65" i="1"/>
  <c r="O46" i="1"/>
  <c r="N24" i="7"/>
  <c r="K89" i="1"/>
  <c r="J93" i="1"/>
  <c r="J27" i="7" s="1"/>
  <c r="M290" i="5"/>
  <c r="M291" i="5" s="1"/>
  <c r="M279" i="5"/>
  <c r="N278" i="5"/>
  <c r="O278" i="5" s="1"/>
  <c r="P278" i="5" s="1"/>
  <c r="Q278" i="5" s="1"/>
  <c r="R278" i="5" s="1"/>
  <c r="S278" i="5" s="1"/>
  <c r="M284" i="5"/>
  <c r="M285" i="5" s="1"/>
  <c r="L293" i="5"/>
  <c r="C8" i="16"/>
  <c r="M8" i="5"/>
  <c r="L14" i="5"/>
  <c r="L15" i="5" s="1"/>
  <c r="L20" i="5"/>
  <c r="L21" i="5" s="1"/>
  <c r="W91" i="1"/>
  <c r="K10" i="1"/>
  <c r="L8" i="1"/>
  <c r="L35" i="1" s="1"/>
  <c r="AO121" i="1"/>
  <c r="AO32" i="7" s="1"/>
  <c r="AO46" i="1"/>
  <c r="AO24" i="7" s="1"/>
  <c r="AO40" i="1"/>
  <c r="AO22" i="7" s="1"/>
  <c r="AO49" i="1"/>
  <c r="AO25" i="7" s="1"/>
  <c r="X140" i="1"/>
  <c r="V28" i="7"/>
  <c r="Y188" i="1"/>
  <c r="AN113" i="1"/>
  <c r="AN30" i="7" s="1"/>
  <c r="AI25" i="1"/>
  <c r="AI19" i="7" s="1"/>
  <c r="AJ23" i="1"/>
  <c r="AO43" i="1"/>
  <c r="AO23" i="7" s="1"/>
  <c r="AN110" i="1"/>
  <c r="AN29" i="7" s="1"/>
  <c r="X143" i="1"/>
  <c r="AN128" i="1"/>
  <c r="AN129" i="1" s="1"/>
  <c r="AN34" i="7" s="1"/>
  <c r="AO9" i="1"/>
  <c r="AO128" i="1" s="1"/>
  <c r="AO129" i="1" s="1"/>
  <c r="AO34" i="7" s="1"/>
  <c r="AC20" i="1"/>
  <c r="AC18" i="7" s="1"/>
  <c r="AD18" i="1"/>
  <c r="Z15" i="1"/>
  <c r="Z17" i="7" s="1"/>
  <c r="J28" i="1"/>
  <c r="J32" i="1" s="1"/>
  <c r="J20" i="7" s="1"/>
  <c r="J189" i="1"/>
  <c r="J190" i="1" s="1"/>
  <c r="J14" i="11" s="1"/>
  <c r="J37" i="1"/>
  <c r="J21" i="7" s="1"/>
  <c r="M401" i="5" l="1"/>
  <c r="M374" i="5"/>
  <c r="O69" i="1"/>
  <c r="F216" i="5"/>
  <c r="G212" i="5"/>
  <c r="F252" i="5"/>
  <c r="G250" i="5"/>
  <c r="F303" i="5"/>
  <c r="G276" i="5"/>
  <c r="F277" i="5"/>
  <c r="G225" i="5"/>
  <c r="F239" i="5"/>
  <c r="F442" i="5"/>
  <c r="G189" i="5"/>
  <c r="G442" i="5" s="1"/>
  <c r="K241" i="5"/>
  <c r="K322" i="5" s="1"/>
  <c r="K162" i="5"/>
  <c r="K441" i="5" s="1"/>
  <c r="K214" i="5"/>
  <c r="K135" i="5"/>
  <c r="K440" i="5" s="1"/>
  <c r="J403" i="5"/>
  <c r="J405" i="5" s="1"/>
  <c r="J450" i="5" s="1"/>
  <c r="J324" i="5"/>
  <c r="J447" i="5" s="1"/>
  <c r="K239" i="5"/>
  <c r="K243" i="5" s="1"/>
  <c r="K444" i="5" s="1"/>
  <c r="E5" i="11"/>
  <c r="M428" i="5"/>
  <c r="L133" i="5"/>
  <c r="L54" i="5"/>
  <c r="L437" i="5" s="1"/>
  <c r="L187" i="5"/>
  <c r="L108" i="5"/>
  <c r="L439" i="5" s="1"/>
  <c r="C5" i="11"/>
  <c r="D5" i="11"/>
  <c r="J295" i="5"/>
  <c r="J216" i="5"/>
  <c r="J443" i="5" s="1"/>
  <c r="J349" i="5"/>
  <c r="J270" i="5"/>
  <c r="J445" i="5" s="1"/>
  <c r="I430" i="5"/>
  <c r="I432" i="5" s="1"/>
  <c r="I451" i="5" s="1"/>
  <c r="I351" i="5"/>
  <c r="I448" i="5" s="1"/>
  <c r="I376" i="5"/>
  <c r="I378" i="5" s="1"/>
  <c r="I449" i="5" s="1"/>
  <c r="I297" i="5"/>
  <c r="I446" i="5" s="1"/>
  <c r="X100" i="1"/>
  <c r="W107" i="1"/>
  <c r="B12" i="32" s="1"/>
  <c r="L225" i="5"/>
  <c r="M224" i="5"/>
  <c r="L230" i="5"/>
  <c r="L231" i="5" s="1"/>
  <c r="L236" i="5"/>
  <c r="L237" i="5" s="1"/>
  <c r="K268" i="5"/>
  <c r="K189" i="5"/>
  <c r="K442" i="5" s="1"/>
  <c r="L160" i="5"/>
  <c r="L81" i="5"/>
  <c r="L438" i="5" s="1"/>
  <c r="N25" i="5"/>
  <c r="M79" i="5"/>
  <c r="M106" i="5"/>
  <c r="M52" i="5"/>
  <c r="L76" i="1"/>
  <c r="L26" i="7" s="1"/>
  <c r="N63" i="1"/>
  <c r="M65" i="1"/>
  <c r="M70" i="1"/>
  <c r="M72" i="1" s="1"/>
  <c r="L89" i="1"/>
  <c r="K93" i="1"/>
  <c r="K27" i="7" s="1"/>
  <c r="P46" i="1"/>
  <c r="O24" i="7"/>
  <c r="K28" i="1"/>
  <c r="K32" i="1" s="1"/>
  <c r="K20" i="7" s="1"/>
  <c r="K16" i="7"/>
  <c r="M293" i="5"/>
  <c r="D6" i="11"/>
  <c r="C6" i="11"/>
  <c r="M14" i="5"/>
  <c r="M15" i="5" s="1"/>
  <c r="N8" i="5"/>
  <c r="M20" i="5"/>
  <c r="M21" i="5" s="1"/>
  <c r="AO113" i="1"/>
  <c r="AO30" i="7" s="1"/>
  <c r="W28" i="7"/>
  <c r="X91" i="1"/>
  <c r="AA15" i="1"/>
  <c r="AA17" i="7" s="1"/>
  <c r="AD20" i="1"/>
  <c r="AD18" i="7" s="1"/>
  <c r="AE18" i="1"/>
  <c r="Y143" i="1"/>
  <c r="AO110" i="1"/>
  <c r="AO29" i="7" s="1"/>
  <c r="AJ25" i="1"/>
  <c r="AJ19" i="7" s="1"/>
  <c r="AK23" i="1"/>
  <c r="Z188" i="1"/>
  <c r="Y140" i="1"/>
  <c r="M8" i="1"/>
  <c r="M35" i="1" s="1"/>
  <c r="L10" i="1"/>
  <c r="L16" i="7" s="1"/>
  <c r="K189" i="1"/>
  <c r="K190" i="1" s="1"/>
  <c r="K14" i="11" s="1"/>
  <c r="K37" i="1"/>
  <c r="K21" i="7" s="1"/>
  <c r="C2" i="11"/>
  <c r="D2" i="11"/>
  <c r="E2" i="11"/>
  <c r="F2" i="11"/>
  <c r="G2" i="11"/>
  <c r="C2" i="16"/>
  <c r="D2" i="16"/>
  <c r="E2" i="16"/>
  <c r="F2" i="16"/>
  <c r="G2" i="16"/>
  <c r="C2" i="7"/>
  <c r="C15" i="7" s="1"/>
  <c r="D2" i="7"/>
  <c r="D15" i="7" s="1"/>
  <c r="E2" i="7"/>
  <c r="E15" i="7" s="1"/>
  <c r="F2" i="7"/>
  <c r="F15" i="7" s="1"/>
  <c r="G2" i="7"/>
  <c r="G15" i="7" s="1"/>
  <c r="AI459" i="5"/>
  <c r="AJ459" i="5"/>
  <c r="AK459" i="5"/>
  <c r="AL459" i="5"/>
  <c r="AM459" i="5"/>
  <c r="AN459" i="5"/>
  <c r="AO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H459" i="5"/>
  <c r="E2" i="30"/>
  <c r="E21" i="30" s="1"/>
  <c r="F2" i="30"/>
  <c r="G2" i="30"/>
  <c r="H2" i="30"/>
  <c r="I2" i="30"/>
  <c r="I20" i="30" s="1"/>
  <c r="J2" i="30"/>
  <c r="K2" i="30"/>
  <c r="K20" i="30" s="1"/>
  <c r="L2" i="30"/>
  <c r="D2" i="30"/>
  <c r="D19" i="30" s="1"/>
  <c r="C2" i="30"/>
  <c r="E2" i="29"/>
  <c r="E35" i="29" s="1"/>
  <c r="F2" i="29"/>
  <c r="G2" i="29"/>
  <c r="H2" i="29"/>
  <c r="I2" i="29"/>
  <c r="J2" i="29"/>
  <c r="K2" i="29"/>
  <c r="L2" i="29"/>
  <c r="D2" i="29"/>
  <c r="C2" i="29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AK2" i="11" s="1"/>
  <c r="AL2" i="11" s="1"/>
  <c r="AM2" i="11" s="1"/>
  <c r="AN2" i="11" s="1"/>
  <c r="AO2" i="11" s="1"/>
  <c r="H2" i="11"/>
  <c r="I2" i="16"/>
  <c r="J2" i="16"/>
  <c r="K2" i="16"/>
  <c r="L2" i="16"/>
  <c r="M2" i="16"/>
  <c r="N2" i="16"/>
  <c r="O2" i="16"/>
  <c r="P2" i="16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AD2" i="16"/>
  <c r="AE2" i="16"/>
  <c r="AF2" i="16"/>
  <c r="AG2" i="16"/>
  <c r="AH2" i="16"/>
  <c r="AI2" i="16"/>
  <c r="AJ2" i="16"/>
  <c r="AK2" i="16"/>
  <c r="AL2" i="16"/>
  <c r="AM2" i="16"/>
  <c r="AN2" i="16"/>
  <c r="AO2" i="16"/>
  <c r="H2" i="16"/>
  <c r="I2" i="7"/>
  <c r="I15" i="7" s="1"/>
  <c r="J2" i="7"/>
  <c r="J15" i="7" s="1"/>
  <c r="K2" i="7"/>
  <c r="K15" i="7" s="1"/>
  <c r="L2" i="7"/>
  <c r="L15" i="7" s="1"/>
  <c r="M2" i="7"/>
  <c r="M15" i="7" s="1"/>
  <c r="N2" i="7"/>
  <c r="N15" i="7" s="1"/>
  <c r="O2" i="7"/>
  <c r="O15" i="7" s="1"/>
  <c r="P2" i="7"/>
  <c r="P15" i="7" s="1"/>
  <c r="Q2" i="7"/>
  <c r="Q15" i="7" s="1"/>
  <c r="R2" i="7"/>
  <c r="R15" i="7" s="1"/>
  <c r="S2" i="7"/>
  <c r="S15" i="7" s="1"/>
  <c r="T2" i="7"/>
  <c r="T15" i="7" s="1"/>
  <c r="U2" i="7"/>
  <c r="U15" i="7" s="1"/>
  <c r="V2" i="7"/>
  <c r="V15" i="7" s="1"/>
  <c r="W2" i="7"/>
  <c r="W15" i="7" s="1"/>
  <c r="X2" i="7"/>
  <c r="X15" i="7" s="1"/>
  <c r="Y2" i="7"/>
  <c r="Y15" i="7" s="1"/>
  <c r="Z2" i="7"/>
  <c r="Z15" i="7" s="1"/>
  <c r="AA2" i="7"/>
  <c r="AA15" i="7" s="1"/>
  <c r="AB2" i="7"/>
  <c r="AB15" i="7" s="1"/>
  <c r="AC2" i="7"/>
  <c r="AC15" i="7" s="1"/>
  <c r="AD2" i="7"/>
  <c r="AD15" i="7" s="1"/>
  <c r="AE2" i="7"/>
  <c r="AE15" i="7" s="1"/>
  <c r="AF2" i="7"/>
  <c r="AF15" i="7" s="1"/>
  <c r="AG2" i="7"/>
  <c r="AH2" i="7"/>
  <c r="AI2" i="7"/>
  <c r="AJ2" i="7"/>
  <c r="AK2" i="7"/>
  <c r="AL2" i="7"/>
  <c r="AM2" i="7"/>
  <c r="AM15" i="7" s="1"/>
  <c r="AN2" i="7"/>
  <c r="AN15" i="7" s="1"/>
  <c r="AO2" i="7"/>
  <c r="AO15" i="7" s="1"/>
  <c r="H2" i="7"/>
  <c r="H15" i="7" s="1"/>
  <c r="V65" i="5"/>
  <c r="W65" i="5" s="1"/>
  <c r="CY24" i="7"/>
  <c r="DR24" i="7" s="1"/>
  <c r="B50" i="29"/>
  <c r="G44" i="29"/>
  <c r="H44" i="29" s="1"/>
  <c r="I44" i="29" s="1"/>
  <c r="J44" i="29" s="1"/>
  <c r="K44" i="29" s="1"/>
  <c r="L44" i="29" s="1"/>
  <c r="M44" i="29" s="1"/>
  <c r="CU24" i="7"/>
  <c r="DN24" i="7" s="1"/>
  <c r="X33" i="5"/>
  <c r="Y33" i="5" s="1"/>
  <c r="Z33" i="5" s="1"/>
  <c r="AA33" i="5" s="1"/>
  <c r="AF87" i="5"/>
  <c r="AE87" i="5"/>
  <c r="AD87" i="5"/>
  <c r="AC87" i="5"/>
  <c r="AB87" i="5"/>
  <c r="AA87" i="5"/>
  <c r="Z87" i="5"/>
  <c r="Y87" i="5"/>
  <c r="X87" i="5"/>
  <c r="W87" i="5"/>
  <c r="V87" i="5"/>
  <c r="U87" i="5"/>
  <c r="AL60" i="5"/>
  <c r="AL87" i="5" s="1"/>
  <c r="AM249" i="5" s="1"/>
  <c r="AG71" i="5"/>
  <c r="T71" i="5"/>
  <c r="T65" i="5"/>
  <c r="S60" i="5"/>
  <c r="R60" i="5"/>
  <c r="Q60" i="5"/>
  <c r="P60" i="5"/>
  <c r="O60" i="5"/>
  <c r="N60" i="5"/>
  <c r="AI59" i="5"/>
  <c r="AJ59" i="5" s="1"/>
  <c r="AK59" i="5" s="1"/>
  <c r="AL59" i="5" s="1"/>
  <c r="AM59" i="5" s="1"/>
  <c r="AN59" i="5" s="1"/>
  <c r="AO59" i="5" s="1"/>
  <c r="AG58" i="5"/>
  <c r="AH58" i="5" s="1"/>
  <c r="AE58" i="5"/>
  <c r="U58" i="5"/>
  <c r="S58" i="5"/>
  <c r="R58" i="5"/>
  <c r="Q58" i="5"/>
  <c r="P58" i="5"/>
  <c r="O58" i="5"/>
  <c r="N58" i="5"/>
  <c r="AF45" i="5"/>
  <c r="AE45" i="5"/>
  <c r="AD45" i="5"/>
  <c r="AC45" i="5"/>
  <c r="AB45" i="5"/>
  <c r="AA45" i="5"/>
  <c r="Z45" i="5"/>
  <c r="Y45" i="5"/>
  <c r="X45" i="5"/>
  <c r="W45" i="5"/>
  <c r="T45" i="5"/>
  <c r="AO44" i="5"/>
  <c r="AN44" i="5"/>
  <c r="AN46" i="5" s="1"/>
  <c r="AM44" i="5"/>
  <c r="AL44" i="5"/>
  <c r="AL46" i="5" s="1"/>
  <c r="AK44" i="5"/>
  <c r="AJ44" i="5"/>
  <c r="AJ46" i="5" s="1"/>
  <c r="AI44" i="5"/>
  <c r="AI46" i="5" s="1"/>
  <c r="S44" i="5"/>
  <c r="S46" i="5" s="1"/>
  <c r="R44" i="5"/>
  <c r="R46" i="5" s="1"/>
  <c r="Q44" i="5"/>
  <c r="P44" i="5"/>
  <c r="O44" i="5"/>
  <c r="O46" i="5" s="1"/>
  <c r="N44" i="5"/>
  <c r="N46" i="5" s="1"/>
  <c r="AO38" i="5"/>
  <c r="AO168" i="1" s="1"/>
  <c r="AN38" i="5"/>
  <c r="AN168" i="1" s="1"/>
  <c r="AM38" i="5"/>
  <c r="AL38" i="5"/>
  <c r="AL168" i="1" s="1"/>
  <c r="AK38" i="5"/>
  <c r="AK168" i="1" s="1"/>
  <c r="AJ38" i="5"/>
  <c r="AJ168" i="1" s="1"/>
  <c r="AI38" i="5"/>
  <c r="AG31" i="5"/>
  <c r="AH31" i="5" s="1"/>
  <c r="Y31" i="5"/>
  <c r="U31" i="5"/>
  <c r="U34" i="5" s="1"/>
  <c r="S31" i="5"/>
  <c r="R31" i="5"/>
  <c r="Q31" i="5"/>
  <c r="P31" i="5"/>
  <c r="O31" i="5"/>
  <c r="O34" i="5" s="1"/>
  <c r="N31" i="5"/>
  <c r="AI32" i="5"/>
  <c r="AJ32" i="5" s="1"/>
  <c r="AK32" i="5" s="1"/>
  <c r="AL32" i="5" s="1"/>
  <c r="AM32" i="5" s="1"/>
  <c r="AN32" i="5" s="1"/>
  <c r="AO32" i="5" s="1"/>
  <c r="N33" i="5"/>
  <c r="O33" i="5"/>
  <c r="P33" i="5"/>
  <c r="Q33" i="5"/>
  <c r="R33" i="5"/>
  <c r="S33" i="5"/>
  <c r="T33" i="5" s="1"/>
  <c r="T39" i="5"/>
  <c r="W39" i="5"/>
  <c r="X39" i="5"/>
  <c r="Y39" i="5"/>
  <c r="Z39" i="5"/>
  <c r="AA39" i="5"/>
  <c r="AB39" i="5"/>
  <c r="AC39" i="5"/>
  <c r="AD39" i="5"/>
  <c r="AE39" i="5"/>
  <c r="AF39" i="5"/>
  <c r="AJ40" i="5"/>
  <c r="AK40" i="5"/>
  <c r="AL40" i="5"/>
  <c r="AN40" i="5"/>
  <c r="AO40" i="5"/>
  <c r="Q46" i="5"/>
  <c r="P46" i="5"/>
  <c r="AK46" i="5"/>
  <c r="AM46" i="5"/>
  <c r="AO46" i="5"/>
  <c r="AD462" i="31"/>
  <c r="AE462" i="31" s="1"/>
  <c r="AF462" i="31" s="1"/>
  <c r="AG462" i="31" s="1"/>
  <c r="AH462" i="31" s="1"/>
  <c r="AI462" i="31" s="1"/>
  <c r="AJ462" i="31" s="1"/>
  <c r="D462" i="31"/>
  <c r="E462" i="31" s="1"/>
  <c r="F462" i="31" s="1"/>
  <c r="G462" i="31" s="1"/>
  <c r="H462" i="31" s="1"/>
  <c r="I462" i="31" s="1"/>
  <c r="J462" i="31" s="1"/>
  <c r="K462" i="31" s="1"/>
  <c r="L462" i="31" s="1"/>
  <c r="M462" i="31" s="1"/>
  <c r="N462" i="31" s="1"/>
  <c r="P462" i="31" s="1"/>
  <c r="Q462" i="31" s="1"/>
  <c r="R462" i="31" s="1"/>
  <c r="S462" i="31" s="1"/>
  <c r="T462" i="31" s="1"/>
  <c r="U462" i="31" s="1"/>
  <c r="V462" i="31" s="1"/>
  <c r="W462" i="31" s="1"/>
  <c r="X462" i="31" s="1"/>
  <c r="Y462" i="31" s="1"/>
  <c r="Z462" i="31" s="1"/>
  <c r="AA462" i="31" s="1"/>
  <c r="AB462" i="31" s="1"/>
  <c r="AC460" i="31"/>
  <c r="AA460" i="31"/>
  <c r="Z460" i="31"/>
  <c r="Y460" i="31"/>
  <c r="X460" i="31"/>
  <c r="W460" i="31"/>
  <c r="V460" i="31"/>
  <c r="U460" i="31"/>
  <c r="T460" i="31"/>
  <c r="S460" i="31"/>
  <c r="R460" i="31"/>
  <c r="Q460" i="31"/>
  <c r="P460" i="31"/>
  <c r="D455" i="31"/>
  <c r="E455" i="31" s="1"/>
  <c r="AJ454" i="31"/>
  <c r="AI454" i="31"/>
  <c r="AH454" i="31"/>
  <c r="AG454" i="31"/>
  <c r="AF454" i="31"/>
  <c r="AE454" i="31"/>
  <c r="AD454" i="31"/>
  <c r="AC454" i="31"/>
  <c r="AB454" i="31"/>
  <c r="AA454" i="31"/>
  <c r="Z454" i="31"/>
  <c r="Y454" i="31"/>
  <c r="X454" i="31"/>
  <c r="W454" i="31"/>
  <c r="V454" i="31"/>
  <c r="U454" i="31"/>
  <c r="T454" i="31"/>
  <c r="S454" i="31"/>
  <c r="R454" i="31"/>
  <c r="Q454" i="31"/>
  <c r="P454" i="31"/>
  <c r="O454" i="31"/>
  <c r="N454" i="31"/>
  <c r="M454" i="31"/>
  <c r="L454" i="31"/>
  <c r="K454" i="31"/>
  <c r="J454" i="31"/>
  <c r="I454" i="31"/>
  <c r="H454" i="31"/>
  <c r="G454" i="31"/>
  <c r="F454" i="31"/>
  <c r="E454" i="31"/>
  <c r="D454" i="31"/>
  <c r="C454" i="31"/>
  <c r="C430" i="31"/>
  <c r="C425" i="31"/>
  <c r="AA423" i="31"/>
  <c r="Z423" i="31"/>
  <c r="Y423" i="31"/>
  <c r="X423" i="31"/>
  <c r="W423" i="31"/>
  <c r="V423" i="31"/>
  <c r="U423" i="31"/>
  <c r="T423" i="31"/>
  <c r="S423" i="31"/>
  <c r="R423" i="31"/>
  <c r="Q423" i="31"/>
  <c r="P423" i="31"/>
  <c r="N423" i="31"/>
  <c r="N424" i="31" s="1"/>
  <c r="M423" i="31"/>
  <c r="M424" i="31" s="1"/>
  <c r="L423" i="31"/>
  <c r="L424" i="31" s="1"/>
  <c r="K423" i="31"/>
  <c r="K424" i="31" s="1"/>
  <c r="J423" i="31"/>
  <c r="J424" i="31" s="1"/>
  <c r="I423" i="31"/>
  <c r="I424" i="31" s="1"/>
  <c r="H423" i="31"/>
  <c r="H424" i="31" s="1"/>
  <c r="G423" i="31"/>
  <c r="G424" i="31" s="1"/>
  <c r="F423" i="31"/>
  <c r="F424" i="31" s="1"/>
  <c r="E423" i="31"/>
  <c r="E424" i="31" s="1"/>
  <c r="D423" i="31"/>
  <c r="D424" i="31" s="1"/>
  <c r="C423" i="31"/>
  <c r="C424" i="31" s="1"/>
  <c r="P422" i="31"/>
  <c r="O422" i="31"/>
  <c r="C419" i="31"/>
  <c r="AA417" i="31"/>
  <c r="Z417" i="31"/>
  <c r="Y417" i="31"/>
  <c r="X417" i="31"/>
  <c r="W417" i="31"/>
  <c r="V417" i="31"/>
  <c r="U417" i="31"/>
  <c r="T417" i="31"/>
  <c r="S417" i="31"/>
  <c r="R417" i="31"/>
  <c r="Q417" i="31"/>
  <c r="P417" i="31"/>
  <c r="N417" i="31"/>
  <c r="N418" i="31"/>
  <c r="M417" i="31"/>
  <c r="M418" i="31" s="1"/>
  <c r="L417" i="31"/>
  <c r="L418" i="31"/>
  <c r="K417" i="31"/>
  <c r="K418" i="31" s="1"/>
  <c r="J417" i="31"/>
  <c r="J418" i="31"/>
  <c r="I417" i="31"/>
  <c r="I418" i="31" s="1"/>
  <c r="H417" i="31"/>
  <c r="H418" i="31"/>
  <c r="G417" i="31"/>
  <c r="G418" i="31" s="1"/>
  <c r="F417" i="31"/>
  <c r="F418" i="31"/>
  <c r="E417" i="31"/>
  <c r="E418" i="31" s="1"/>
  <c r="D417" i="31"/>
  <c r="D418" i="31"/>
  <c r="C417" i="31"/>
  <c r="C418" i="31" s="1"/>
  <c r="P416" i="31"/>
  <c r="O416" i="31"/>
  <c r="D413" i="31"/>
  <c r="D419" i="31" s="1"/>
  <c r="Q411" i="31"/>
  <c r="R411" i="31" s="1"/>
  <c r="AD410" i="31"/>
  <c r="AE410" i="31" s="1"/>
  <c r="AF410" i="31" s="1"/>
  <c r="AG410" i="31" s="1"/>
  <c r="AH410" i="31" s="1"/>
  <c r="AI410" i="31" s="1"/>
  <c r="AJ410" i="31" s="1"/>
  <c r="AB409" i="31"/>
  <c r="R409" i="31"/>
  <c r="N409" i="31"/>
  <c r="M409" i="31"/>
  <c r="L409" i="31"/>
  <c r="K409" i="31"/>
  <c r="J409" i="31"/>
  <c r="I409" i="31"/>
  <c r="H409" i="31"/>
  <c r="G409" i="31"/>
  <c r="F409" i="31"/>
  <c r="E409" i="31"/>
  <c r="D409" i="31"/>
  <c r="C409" i="31"/>
  <c r="C403" i="31"/>
  <c r="C398" i="31"/>
  <c r="AA396" i="31"/>
  <c r="Z396" i="31"/>
  <c r="Y396" i="31"/>
  <c r="X396" i="31"/>
  <c r="W396" i="31"/>
  <c r="V396" i="31"/>
  <c r="U396" i="31"/>
  <c r="T396" i="31"/>
  <c r="S396" i="31"/>
  <c r="R396" i="31"/>
  <c r="Q396" i="31"/>
  <c r="P396" i="31"/>
  <c r="N396" i="31"/>
  <c r="N397" i="31" s="1"/>
  <c r="M396" i="31"/>
  <c r="M397" i="31" s="1"/>
  <c r="L396" i="31"/>
  <c r="L397" i="31" s="1"/>
  <c r="K396" i="31"/>
  <c r="K397" i="31"/>
  <c r="J396" i="31"/>
  <c r="J397" i="31" s="1"/>
  <c r="I396" i="31"/>
  <c r="I397" i="31"/>
  <c r="H396" i="31"/>
  <c r="H397" i="31" s="1"/>
  <c r="G396" i="31"/>
  <c r="G397" i="31"/>
  <c r="F396" i="31"/>
  <c r="F397" i="31" s="1"/>
  <c r="E396" i="31"/>
  <c r="E397" i="31"/>
  <c r="D396" i="31"/>
  <c r="D397" i="31" s="1"/>
  <c r="C396" i="31"/>
  <c r="C397" i="31"/>
  <c r="P395" i="31"/>
  <c r="P397" i="31" s="1"/>
  <c r="O395" i="31"/>
  <c r="C392" i="31"/>
  <c r="AA390" i="31"/>
  <c r="Z390" i="31"/>
  <c r="Y390" i="31"/>
  <c r="X390" i="31"/>
  <c r="W390" i="31"/>
  <c r="V390" i="31"/>
  <c r="U390" i="31"/>
  <c r="T390" i="31"/>
  <c r="S390" i="31"/>
  <c r="R390" i="31"/>
  <c r="Q390" i="31"/>
  <c r="P390" i="31"/>
  <c r="AB390" i="31" s="1"/>
  <c r="N390" i="31"/>
  <c r="N391" i="31" s="1"/>
  <c r="M390" i="31"/>
  <c r="M391" i="31"/>
  <c r="L390" i="31"/>
  <c r="L391" i="31" s="1"/>
  <c r="K390" i="31"/>
  <c r="K391" i="31"/>
  <c r="J390" i="31"/>
  <c r="J391" i="31" s="1"/>
  <c r="I390" i="31"/>
  <c r="I391" i="31"/>
  <c r="H390" i="31"/>
  <c r="H391" i="31" s="1"/>
  <c r="G390" i="31"/>
  <c r="G391" i="31"/>
  <c r="F390" i="31"/>
  <c r="F391" i="31" s="1"/>
  <c r="E390" i="31"/>
  <c r="E391" i="31"/>
  <c r="D390" i="31"/>
  <c r="D391" i="31" s="1"/>
  <c r="C390" i="31"/>
  <c r="C391" i="31"/>
  <c r="P389" i="31"/>
  <c r="O389" i="31"/>
  <c r="D386" i="31"/>
  <c r="E386" i="31"/>
  <c r="Q384" i="31"/>
  <c r="R384" i="31" s="1"/>
  <c r="S384" i="31" s="1"/>
  <c r="AD383" i="31"/>
  <c r="AE383" i="31"/>
  <c r="AF383" i="31" s="1"/>
  <c r="AG383" i="31" s="1"/>
  <c r="AH383" i="31" s="1"/>
  <c r="AI383" i="31" s="1"/>
  <c r="AJ383" i="31" s="1"/>
  <c r="AB382" i="31"/>
  <c r="AC382" i="31" s="1"/>
  <c r="Y382" i="31"/>
  <c r="X382" i="31"/>
  <c r="W382" i="31"/>
  <c r="U382" i="31"/>
  <c r="T382" i="31"/>
  <c r="S382" i="31"/>
  <c r="Q382" i="31"/>
  <c r="Q385" i="31" s="1"/>
  <c r="N382" i="31"/>
  <c r="M382" i="31"/>
  <c r="L382" i="31"/>
  <c r="K382" i="31"/>
  <c r="J382" i="31"/>
  <c r="I382" i="31"/>
  <c r="H382" i="31"/>
  <c r="G382" i="31"/>
  <c r="F382" i="31"/>
  <c r="E382" i="31"/>
  <c r="D382" i="31"/>
  <c r="C382" i="31"/>
  <c r="C376" i="31"/>
  <c r="C371" i="31"/>
  <c r="AA369" i="31"/>
  <c r="Z369" i="31"/>
  <c r="Y369" i="31"/>
  <c r="X369" i="31"/>
  <c r="W369" i="31"/>
  <c r="V369" i="31"/>
  <c r="U369" i="31"/>
  <c r="T369" i="31"/>
  <c r="S369" i="31"/>
  <c r="R369" i="31"/>
  <c r="Q369" i="31"/>
  <c r="P369" i="31"/>
  <c r="N369" i="31"/>
  <c r="N370" i="31"/>
  <c r="M369" i="31"/>
  <c r="M370" i="31" s="1"/>
  <c r="L369" i="31"/>
  <c r="L370" i="31"/>
  <c r="K369" i="31"/>
  <c r="K370" i="31" s="1"/>
  <c r="J369" i="31"/>
  <c r="J370" i="31"/>
  <c r="I369" i="31"/>
  <c r="I370" i="31" s="1"/>
  <c r="H369" i="31"/>
  <c r="H370" i="31"/>
  <c r="G369" i="31"/>
  <c r="G370" i="31" s="1"/>
  <c r="F369" i="31"/>
  <c r="F370" i="31"/>
  <c r="E369" i="31"/>
  <c r="E370" i="31" s="1"/>
  <c r="D369" i="31"/>
  <c r="D370" i="31"/>
  <c r="C369" i="31"/>
  <c r="C370" i="31" s="1"/>
  <c r="P368" i="31"/>
  <c r="P370" i="31"/>
  <c r="O368" i="31"/>
  <c r="C365" i="31"/>
  <c r="AA363" i="31"/>
  <c r="Z363" i="31"/>
  <c r="Y363" i="31"/>
  <c r="X363" i="31"/>
  <c r="W363" i="31"/>
  <c r="V363" i="31"/>
  <c r="U363" i="31"/>
  <c r="T363" i="31"/>
  <c r="S363" i="31"/>
  <c r="R363" i="31"/>
  <c r="Q363" i="31"/>
  <c r="P363" i="31"/>
  <c r="N363" i="31"/>
  <c r="N364" i="31" s="1"/>
  <c r="M363" i="31"/>
  <c r="M364" i="31" s="1"/>
  <c r="L363" i="31"/>
  <c r="L364" i="31" s="1"/>
  <c r="K363" i="31"/>
  <c r="K364" i="31"/>
  <c r="J363" i="31"/>
  <c r="J364" i="31" s="1"/>
  <c r="I363" i="31"/>
  <c r="I364" i="31"/>
  <c r="H363" i="31"/>
  <c r="H364" i="31" s="1"/>
  <c r="G363" i="31"/>
  <c r="G364" i="31"/>
  <c r="F363" i="31"/>
  <c r="F364" i="31" s="1"/>
  <c r="E363" i="31"/>
  <c r="E364" i="31"/>
  <c r="D363" i="31"/>
  <c r="D364" i="31" s="1"/>
  <c r="C363" i="31"/>
  <c r="C364" i="31"/>
  <c r="P362" i="31"/>
  <c r="P364" i="31" s="1"/>
  <c r="O362" i="31"/>
  <c r="D359" i="31"/>
  <c r="D371" i="31" s="1"/>
  <c r="Q357" i="31"/>
  <c r="R357" i="31" s="1"/>
  <c r="AD356" i="31"/>
  <c r="AE356" i="31" s="1"/>
  <c r="AF356" i="31" s="1"/>
  <c r="AG356" i="31" s="1"/>
  <c r="AH356" i="31" s="1"/>
  <c r="AI356" i="31" s="1"/>
  <c r="AJ356" i="31" s="1"/>
  <c r="AB355" i="31"/>
  <c r="AC355" i="31" s="1"/>
  <c r="Z355" i="31"/>
  <c r="Y355" i="31"/>
  <c r="X355" i="31"/>
  <c r="W355" i="31"/>
  <c r="V355" i="31"/>
  <c r="U355" i="31"/>
  <c r="T355" i="31"/>
  <c r="S355" i="31"/>
  <c r="R355" i="31"/>
  <c r="Q355" i="31"/>
  <c r="Q358" i="31" s="1"/>
  <c r="P355" i="31"/>
  <c r="P358" i="31"/>
  <c r="N355" i="31"/>
  <c r="M355" i="31"/>
  <c r="L355" i="31"/>
  <c r="K355" i="31"/>
  <c r="J355" i="31"/>
  <c r="I355" i="31"/>
  <c r="H355" i="31"/>
  <c r="G355" i="31"/>
  <c r="F355" i="31"/>
  <c r="E355" i="31"/>
  <c r="D355" i="31"/>
  <c r="C355" i="31"/>
  <c r="C349" i="31"/>
  <c r="C344" i="31"/>
  <c r="AA342" i="31"/>
  <c r="Z342" i="31"/>
  <c r="Y342" i="31"/>
  <c r="X342" i="31"/>
  <c r="W342" i="31"/>
  <c r="V342" i="31"/>
  <c r="U342" i="31"/>
  <c r="T342" i="31"/>
  <c r="S342" i="31"/>
  <c r="R342" i="31"/>
  <c r="Q342" i="31"/>
  <c r="P342" i="31"/>
  <c r="N342" i="31"/>
  <c r="N343" i="31"/>
  <c r="M342" i="31"/>
  <c r="M343" i="31" s="1"/>
  <c r="L342" i="31"/>
  <c r="L343" i="31"/>
  <c r="K342" i="31"/>
  <c r="K343" i="31" s="1"/>
  <c r="J342" i="31"/>
  <c r="J343" i="31"/>
  <c r="I342" i="31"/>
  <c r="I343" i="31" s="1"/>
  <c r="H342" i="31"/>
  <c r="H343" i="31"/>
  <c r="G342" i="31"/>
  <c r="G343" i="31" s="1"/>
  <c r="F342" i="31"/>
  <c r="F343" i="31"/>
  <c r="E342" i="31"/>
  <c r="E343" i="31" s="1"/>
  <c r="D342" i="31"/>
  <c r="D343" i="31"/>
  <c r="C342" i="31"/>
  <c r="C343" i="31" s="1"/>
  <c r="P341" i="31"/>
  <c r="P343" i="31"/>
  <c r="O341" i="31"/>
  <c r="C338" i="31"/>
  <c r="AA336" i="31"/>
  <c r="Z336" i="31"/>
  <c r="Y336" i="31"/>
  <c r="X336" i="31"/>
  <c r="W336" i="31"/>
  <c r="V336" i="31"/>
  <c r="U336" i="31"/>
  <c r="T336" i="31"/>
  <c r="S336" i="31"/>
  <c r="R336" i="31"/>
  <c r="Q336" i="31"/>
  <c r="P336" i="31"/>
  <c r="N336" i="31"/>
  <c r="N337" i="31" s="1"/>
  <c r="M336" i="31"/>
  <c r="M337" i="31"/>
  <c r="L336" i="31"/>
  <c r="L337" i="31" s="1"/>
  <c r="K336" i="31"/>
  <c r="K337" i="31"/>
  <c r="J336" i="31"/>
  <c r="J337" i="31" s="1"/>
  <c r="I336" i="31"/>
  <c r="I337" i="31"/>
  <c r="H336" i="31"/>
  <c r="H337" i="31" s="1"/>
  <c r="G336" i="31"/>
  <c r="G337" i="31"/>
  <c r="F336" i="31"/>
  <c r="F337" i="31" s="1"/>
  <c r="E336" i="31"/>
  <c r="E337" i="31"/>
  <c r="D336" i="31"/>
  <c r="D337" i="31" s="1"/>
  <c r="C336" i="31"/>
  <c r="C337" i="31"/>
  <c r="P335" i="31"/>
  <c r="P337" i="31" s="1"/>
  <c r="O335" i="31"/>
  <c r="D332" i="31"/>
  <c r="D344" i="31" s="1"/>
  <c r="Q330" i="31"/>
  <c r="R330" i="31" s="1"/>
  <c r="AD329" i="31"/>
  <c r="AE329" i="31" s="1"/>
  <c r="AF329" i="31" s="1"/>
  <c r="AG329" i="31" s="1"/>
  <c r="AH329" i="31" s="1"/>
  <c r="AI329" i="31" s="1"/>
  <c r="AJ329" i="31" s="1"/>
  <c r="AB328" i="31"/>
  <c r="AC328" i="31" s="1"/>
  <c r="Z328" i="31"/>
  <c r="Y328" i="31"/>
  <c r="W328" i="31"/>
  <c r="V328" i="31"/>
  <c r="U328" i="31"/>
  <c r="S328" i="31"/>
  <c r="R328" i="31"/>
  <c r="Q328" i="31"/>
  <c r="Q331" i="31" s="1"/>
  <c r="P328" i="31"/>
  <c r="P331" i="31"/>
  <c r="N328" i="31"/>
  <c r="M328" i="31"/>
  <c r="L328" i="31"/>
  <c r="K328" i="31"/>
  <c r="J328" i="31"/>
  <c r="I328" i="31"/>
  <c r="H328" i="31"/>
  <c r="G328" i="31"/>
  <c r="F328" i="31"/>
  <c r="E328" i="31"/>
  <c r="D328" i="31"/>
  <c r="C328" i="31"/>
  <c r="C322" i="31"/>
  <c r="D317" i="31"/>
  <c r="E317" i="31" s="1"/>
  <c r="F317" i="31" s="1"/>
  <c r="G317" i="31" s="1"/>
  <c r="H317" i="31" s="1"/>
  <c r="I317" i="31" s="1"/>
  <c r="J317" i="31" s="1"/>
  <c r="K317" i="31" s="1"/>
  <c r="L317" i="31" s="1"/>
  <c r="M317" i="31" s="1"/>
  <c r="N317" i="31" s="1"/>
  <c r="AA315" i="31"/>
  <c r="Z315" i="31"/>
  <c r="Y315" i="31"/>
  <c r="X315" i="31"/>
  <c r="W315" i="31"/>
  <c r="V315" i="31"/>
  <c r="U315" i="31"/>
  <c r="T315" i="31"/>
  <c r="S315" i="31"/>
  <c r="R315" i="31"/>
  <c r="Q315" i="31"/>
  <c r="P315" i="31"/>
  <c r="N315" i="31"/>
  <c r="N316" i="31" s="1"/>
  <c r="M315" i="31"/>
  <c r="M316" i="31"/>
  <c r="M318" i="31" s="1"/>
  <c r="L315" i="31"/>
  <c r="L316" i="31" s="1"/>
  <c r="K315" i="31"/>
  <c r="K316" i="31" s="1"/>
  <c r="K318" i="31" s="1"/>
  <c r="J315" i="31"/>
  <c r="J316" i="31"/>
  <c r="I315" i="31"/>
  <c r="I316" i="31" s="1"/>
  <c r="I318" i="31" s="1"/>
  <c r="H315" i="31"/>
  <c r="H316" i="31" s="1"/>
  <c r="G315" i="31"/>
  <c r="G316" i="31" s="1"/>
  <c r="G318" i="31" s="1"/>
  <c r="F315" i="31"/>
  <c r="F316" i="31" s="1"/>
  <c r="E315" i="31"/>
  <c r="E316" i="31"/>
  <c r="E318" i="31" s="1"/>
  <c r="D315" i="31"/>
  <c r="D316" i="31" s="1"/>
  <c r="D318" i="31" s="1"/>
  <c r="C315" i="31"/>
  <c r="C316" i="31" s="1"/>
  <c r="P314" i="31"/>
  <c r="Q314" i="31" s="1"/>
  <c r="Q316" i="31" s="1"/>
  <c r="P316" i="31"/>
  <c r="O314" i="31"/>
  <c r="D311" i="31"/>
  <c r="E311" i="31" s="1"/>
  <c r="F311" i="31" s="1"/>
  <c r="G311" i="31" s="1"/>
  <c r="H311" i="31" s="1"/>
  <c r="I311" i="31" s="1"/>
  <c r="J311" i="31" s="1"/>
  <c r="K311" i="31" s="1"/>
  <c r="L311" i="31" s="1"/>
  <c r="M311" i="31" s="1"/>
  <c r="N311" i="31" s="1"/>
  <c r="AA309" i="31"/>
  <c r="Z309" i="31"/>
  <c r="Y309" i="31"/>
  <c r="X309" i="31"/>
  <c r="W309" i="31"/>
  <c r="V309" i="31"/>
  <c r="U309" i="31"/>
  <c r="T309" i="31"/>
  <c r="S309" i="31"/>
  <c r="R309" i="31"/>
  <c r="AB309" i="31" s="1"/>
  <c r="Q309" i="31"/>
  <c r="P309" i="31"/>
  <c r="N309" i="31"/>
  <c r="N310" i="31" s="1"/>
  <c r="N312" i="31" s="1"/>
  <c r="M309" i="31"/>
  <c r="M310" i="31" s="1"/>
  <c r="L309" i="31"/>
  <c r="L310" i="31" s="1"/>
  <c r="L312" i="31" s="1"/>
  <c r="K309" i="31"/>
  <c r="K310" i="31" s="1"/>
  <c r="J309" i="31"/>
  <c r="J310" i="31"/>
  <c r="J312" i="31" s="1"/>
  <c r="I309" i="31"/>
  <c r="I310" i="31" s="1"/>
  <c r="H309" i="31"/>
  <c r="H310" i="31" s="1"/>
  <c r="H312" i="31" s="1"/>
  <c r="G309" i="31"/>
  <c r="G310" i="31"/>
  <c r="F309" i="31"/>
  <c r="F310" i="31" s="1"/>
  <c r="F312" i="31" s="1"/>
  <c r="E309" i="31"/>
  <c r="E310" i="31" s="1"/>
  <c r="E312" i="31" s="1"/>
  <c r="D309" i="31"/>
  <c r="D310" i="31"/>
  <c r="D312" i="31" s="1"/>
  <c r="C309" i="31"/>
  <c r="C310" i="31" s="1"/>
  <c r="P308" i="31"/>
  <c r="P310" i="31" s="1"/>
  <c r="O308" i="31"/>
  <c r="D305" i="31"/>
  <c r="E305" i="31" s="1"/>
  <c r="F305" i="31" s="1"/>
  <c r="G305" i="31" s="1"/>
  <c r="H305" i="31" s="1"/>
  <c r="I305" i="31" s="1"/>
  <c r="J305" i="31" s="1"/>
  <c r="K305" i="31" s="1"/>
  <c r="L305" i="31" s="1"/>
  <c r="M305" i="31" s="1"/>
  <c r="N305" i="31" s="1"/>
  <c r="Q303" i="31"/>
  <c r="R303" i="31" s="1"/>
  <c r="S303" i="31" s="1"/>
  <c r="T303" i="31" s="1"/>
  <c r="U303" i="31" s="1"/>
  <c r="V303" i="31" s="1"/>
  <c r="W303" i="31" s="1"/>
  <c r="X303" i="31" s="1"/>
  <c r="Y303" i="31" s="1"/>
  <c r="Z303" i="31" s="1"/>
  <c r="AA303" i="31" s="1"/>
  <c r="AB303" i="31" s="1"/>
  <c r="AD302" i="31"/>
  <c r="AE302" i="31" s="1"/>
  <c r="AF302" i="31" s="1"/>
  <c r="AG302" i="31" s="1"/>
  <c r="AH302" i="31" s="1"/>
  <c r="AI302" i="31" s="1"/>
  <c r="AJ302" i="31" s="1"/>
  <c r="AB301" i="31"/>
  <c r="S301" i="31" s="1"/>
  <c r="S304" i="31" s="1"/>
  <c r="W301" i="31"/>
  <c r="W304" i="31" s="1"/>
  <c r="N301" i="31"/>
  <c r="M301" i="31"/>
  <c r="L301" i="31"/>
  <c r="K301" i="31"/>
  <c r="J301" i="31"/>
  <c r="I301" i="31"/>
  <c r="H301" i="31"/>
  <c r="G301" i="31"/>
  <c r="F301" i="31"/>
  <c r="E301" i="31"/>
  <c r="D301" i="31"/>
  <c r="C301" i="31"/>
  <c r="C295" i="31"/>
  <c r="C290" i="31"/>
  <c r="AA288" i="31"/>
  <c r="Z288" i="31"/>
  <c r="Y288" i="31"/>
  <c r="X288" i="31"/>
  <c r="W288" i="31"/>
  <c r="V288" i="31"/>
  <c r="U288" i="31"/>
  <c r="T288" i="31"/>
  <c r="S288" i="31"/>
  <c r="R288" i="31"/>
  <c r="Q288" i="31"/>
  <c r="P288" i="31"/>
  <c r="AB288" i="31" s="1"/>
  <c r="N288" i="31"/>
  <c r="N289" i="31"/>
  <c r="M288" i="31"/>
  <c r="M289" i="31" s="1"/>
  <c r="L288" i="31"/>
  <c r="L289" i="31"/>
  <c r="K288" i="31"/>
  <c r="K289" i="31" s="1"/>
  <c r="J288" i="31"/>
  <c r="J289" i="31"/>
  <c r="I288" i="31"/>
  <c r="I289" i="31" s="1"/>
  <c r="H288" i="31"/>
  <c r="H289" i="31"/>
  <c r="G288" i="31"/>
  <c r="G289" i="31"/>
  <c r="F288" i="31"/>
  <c r="F289" i="31"/>
  <c r="E288" i="31"/>
  <c r="E289" i="31"/>
  <c r="D288" i="31"/>
  <c r="D289" i="31"/>
  <c r="C288" i="31"/>
  <c r="C289" i="31"/>
  <c r="P287" i="31"/>
  <c r="P289" i="31"/>
  <c r="O287" i="31"/>
  <c r="C284" i="31"/>
  <c r="AA282" i="31"/>
  <c r="Z282" i="31"/>
  <c r="Y282" i="31"/>
  <c r="X282" i="31"/>
  <c r="W282" i="31"/>
  <c r="V282" i="31"/>
  <c r="U282" i="31"/>
  <c r="T282" i="31"/>
  <c r="S282" i="31"/>
  <c r="R282" i="31"/>
  <c r="Q282" i="31"/>
  <c r="P282" i="31"/>
  <c r="N282" i="31"/>
  <c r="N283" i="31" s="1"/>
  <c r="M282" i="31"/>
  <c r="M283" i="31" s="1"/>
  <c r="L282" i="31"/>
  <c r="L283" i="31" s="1"/>
  <c r="K282" i="31"/>
  <c r="K283" i="31" s="1"/>
  <c r="J282" i="31"/>
  <c r="J283" i="31" s="1"/>
  <c r="I282" i="31"/>
  <c r="I283" i="31" s="1"/>
  <c r="H282" i="31"/>
  <c r="H283" i="31" s="1"/>
  <c r="G282" i="31"/>
  <c r="G283" i="31" s="1"/>
  <c r="F282" i="31"/>
  <c r="F283" i="31" s="1"/>
  <c r="E282" i="31"/>
  <c r="E283" i="31" s="1"/>
  <c r="D282" i="31"/>
  <c r="D283" i="31"/>
  <c r="C282" i="31"/>
  <c r="C283" i="31" s="1"/>
  <c r="P281" i="31"/>
  <c r="P283" i="31"/>
  <c r="O281" i="31"/>
  <c r="D278" i="31"/>
  <c r="E278" i="31" s="1"/>
  <c r="Q276" i="31"/>
  <c r="R276" i="31" s="1"/>
  <c r="AH275" i="31"/>
  <c r="AI275" i="31" s="1"/>
  <c r="AJ275" i="31" s="1"/>
  <c r="AB274" i="31"/>
  <c r="N274" i="31"/>
  <c r="M274" i="31"/>
  <c r="L274" i="31"/>
  <c r="K274" i="31"/>
  <c r="J274" i="31"/>
  <c r="I274" i="31"/>
  <c r="H274" i="31"/>
  <c r="G274" i="31"/>
  <c r="F274" i="31"/>
  <c r="E274" i="31"/>
  <c r="D274" i="31"/>
  <c r="C274" i="31"/>
  <c r="C268" i="31"/>
  <c r="C263" i="31"/>
  <c r="AA261" i="31"/>
  <c r="Z261" i="31"/>
  <c r="Y261" i="31"/>
  <c r="X261" i="31"/>
  <c r="W261" i="31"/>
  <c r="V261" i="31"/>
  <c r="U261" i="31"/>
  <c r="T261" i="31"/>
  <c r="S261" i="31"/>
  <c r="R261" i="31"/>
  <c r="Q261" i="31"/>
  <c r="P261" i="31"/>
  <c r="N261" i="31"/>
  <c r="N262" i="31" s="1"/>
  <c r="M261" i="31"/>
  <c r="M262" i="31"/>
  <c r="L261" i="31"/>
  <c r="L262" i="31" s="1"/>
  <c r="K261" i="31"/>
  <c r="K262" i="31"/>
  <c r="J261" i="31"/>
  <c r="J262" i="31" s="1"/>
  <c r="I261" i="31"/>
  <c r="I262" i="31"/>
  <c r="H261" i="31"/>
  <c r="H262" i="31" s="1"/>
  <c r="G261" i="31"/>
  <c r="G262" i="31"/>
  <c r="F261" i="31"/>
  <c r="F262" i="31" s="1"/>
  <c r="E261" i="31"/>
  <c r="E262" i="31"/>
  <c r="D261" i="31"/>
  <c r="D262" i="31" s="1"/>
  <c r="C261" i="31"/>
  <c r="C262" i="31"/>
  <c r="P260" i="31"/>
  <c r="P262" i="31" s="1"/>
  <c r="O260" i="31"/>
  <c r="C257" i="31"/>
  <c r="AA255" i="31"/>
  <c r="Z255" i="31"/>
  <c r="Y255" i="31"/>
  <c r="X255" i="31"/>
  <c r="W255" i="31"/>
  <c r="V255" i="31"/>
  <c r="U255" i="31"/>
  <c r="T255" i="31"/>
  <c r="S255" i="31"/>
  <c r="R255" i="31"/>
  <c r="Q255" i="31"/>
  <c r="P255" i="31"/>
  <c r="N255" i="31"/>
  <c r="N256" i="31" s="1"/>
  <c r="M255" i="31"/>
  <c r="M256" i="31" s="1"/>
  <c r="L255" i="31"/>
  <c r="L256" i="31" s="1"/>
  <c r="K255" i="31"/>
  <c r="K256" i="31" s="1"/>
  <c r="J255" i="31"/>
  <c r="J256" i="31" s="1"/>
  <c r="I255" i="31"/>
  <c r="I256" i="31" s="1"/>
  <c r="H255" i="31"/>
  <c r="H256" i="31" s="1"/>
  <c r="G255" i="31"/>
  <c r="G256" i="31" s="1"/>
  <c r="F255" i="31"/>
  <c r="F256" i="31" s="1"/>
  <c r="E255" i="31"/>
  <c r="E256" i="31" s="1"/>
  <c r="D255" i="31"/>
  <c r="D256" i="31"/>
  <c r="C255" i="31"/>
  <c r="C256" i="31" s="1"/>
  <c r="P254" i="31"/>
  <c r="P256" i="31"/>
  <c r="O254" i="31"/>
  <c r="D251" i="31"/>
  <c r="D263" i="31" s="1"/>
  <c r="AG249" i="31"/>
  <c r="AG276" i="31" s="1"/>
  <c r="AG303" i="31" s="1"/>
  <c r="AD249" i="31"/>
  <c r="AD276" i="31"/>
  <c r="AD303" i="31" s="1"/>
  <c r="Q249" i="31"/>
  <c r="R249" i="31" s="1"/>
  <c r="S249" i="31" s="1"/>
  <c r="T249" i="31" s="1"/>
  <c r="U249" i="31" s="1"/>
  <c r="V249" i="31" s="1"/>
  <c r="W249" i="31" s="1"/>
  <c r="X249" i="31" s="1"/>
  <c r="Y249" i="31" s="1"/>
  <c r="Z249" i="31" s="1"/>
  <c r="AA249" i="31" s="1"/>
  <c r="AB249" i="31" s="1"/>
  <c r="AD248" i="31"/>
  <c r="AE248" i="31" s="1"/>
  <c r="AF248" i="31" s="1"/>
  <c r="AG248" i="31" s="1"/>
  <c r="AH248" i="31" s="1"/>
  <c r="AI248" i="31" s="1"/>
  <c r="AJ248" i="31" s="1"/>
  <c r="AB247" i="31"/>
  <c r="AC247" i="31" s="1"/>
  <c r="Z247" i="31"/>
  <c r="Y247" i="31"/>
  <c r="Y250" i="31" s="1"/>
  <c r="W247" i="31"/>
  <c r="W250" i="31" s="1"/>
  <c r="V247" i="31"/>
  <c r="U247" i="31"/>
  <c r="U250" i="31" s="1"/>
  <c r="S247" i="31"/>
  <c r="S250" i="31" s="1"/>
  <c r="R247" i="31"/>
  <c r="Q247" i="31"/>
  <c r="Q250" i="31" s="1"/>
  <c r="N247" i="31"/>
  <c r="M247" i="31"/>
  <c r="L247" i="31"/>
  <c r="K247" i="31"/>
  <c r="J247" i="31"/>
  <c r="I247" i="31"/>
  <c r="H247" i="31"/>
  <c r="G247" i="31"/>
  <c r="F247" i="31"/>
  <c r="E247" i="31"/>
  <c r="D247" i="31"/>
  <c r="C247" i="31"/>
  <c r="C241" i="31"/>
  <c r="C236" i="31"/>
  <c r="AA234" i="31"/>
  <c r="Z234" i="31"/>
  <c r="Y234" i="31"/>
  <c r="X234" i="31"/>
  <c r="W234" i="31"/>
  <c r="V234" i="31"/>
  <c r="U234" i="31"/>
  <c r="T234" i="31"/>
  <c r="S234" i="31"/>
  <c r="R234" i="31"/>
  <c r="Q234" i="31"/>
  <c r="P234" i="31"/>
  <c r="N234" i="31"/>
  <c r="N235" i="31"/>
  <c r="M234" i="31"/>
  <c r="M235" i="31" s="1"/>
  <c r="L234" i="31"/>
  <c r="L235" i="31"/>
  <c r="K234" i="31"/>
  <c r="K235" i="31" s="1"/>
  <c r="J234" i="31"/>
  <c r="J235" i="31"/>
  <c r="I234" i="31"/>
  <c r="I235" i="31" s="1"/>
  <c r="H234" i="31"/>
  <c r="H235" i="31"/>
  <c r="G234" i="31"/>
  <c r="G235" i="31" s="1"/>
  <c r="F234" i="31"/>
  <c r="F235" i="31"/>
  <c r="E234" i="31"/>
  <c r="E235" i="31" s="1"/>
  <c r="D234" i="31"/>
  <c r="D235" i="31"/>
  <c r="C234" i="31"/>
  <c r="C235" i="31" s="1"/>
  <c r="P233" i="31"/>
  <c r="Q233" i="31" s="1"/>
  <c r="R233" i="31" s="1"/>
  <c r="O233" i="31"/>
  <c r="C230" i="31"/>
  <c r="AA228" i="31"/>
  <c r="Z228" i="31"/>
  <c r="Y228" i="31"/>
  <c r="X228" i="31"/>
  <c r="W228" i="31"/>
  <c r="V228" i="31"/>
  <c r="U228" i="31"/>
  <c r="T228" i="31"/>
  <c r="S228" i="31"/>
  <c r="R228" i="31"/>
  <c r="Q228" i="31"/>
  <c r="P228" i="31"/>
  <c r="N228" i="31"/>
  <c r="N229" i="31" s="1"/>
  <c r="M228" i="31"/>
  <c r="M229" i="31" s="1"/>
  <c r="L228" i="31"/>
  <c r="L229" i="31" s="1"/>
  <c r="K228" i="31"/>
  <c r="K229" i="31" s="1"/>
  <c r="J228" i="31"/>
  <c r="J229" i="31" s="1"/>
  <c r="I228" i="31"/>
  <c r="I229" i="31" s="1"/>
  <c r="H228" i="31"/>
  <c r="H229" i="31" s="1"/>
  <c r="G228" i="31"/>
  <c r="G229" i="31" s="1"/>
  <c r="F228" i="31"/>
  <c r="F229" i="31" s="1"/>
  <c r="E228" i="31"/>
  <c r="E229" i="31" s="1"/>
  <c r="D228" i="31"/>
  <c r="D229" i="31" s="1"/>
  <c r="C228" i="31"/>
  <c r="C229" i="31" s="1"/>
  <c r="P227" i="31"/>
  <c r="P229" i="31" s="1"/>
  <c r="O227" i="31"/>
  <c r="D224" i="31"/>
  <c r="D236" i="31" s="1"/>
  <c r="AD221" i="31"/>
  <c r="AE221" i="31" s="1"/>
  <c r="AF221" i="31" s="1"/>
  <c r="AG221" i="31" s="1"/>
  <c r="AH221" i="31" s="1"/>
  <c r="AI221" i="31" s="1"/>
  <c r="AJ221" i="31" s="1"/>
  <c r="AB220" i="31"/>
  <c r="AC220" i="31" s="1"/>
  <c r="AA220" i="31"/>
  <c r="Z220" i="31"/>
  <c r="Y220" i="31"/>
  <c r="X220" i="31"/>
  <c r="W220" i="31"/>
  <c r="V220" i="31"/>
  <c r="U220" i="31"/>
  <c r="T220" i="31"/>
  <c r="S220" i="31"/>
  <c r="R220" i="31"/>
  <c r="Q220" i="31"/>
  <c r="P220" i="31"/>
  <c r="N220" i="31"/>
  <c r="M220" i="31"/>
  <c r="L220" i="31"/>
  <c r="K220" i="31"/>
  <c r="J220" i="31"/>
  <c r="I220" i="31"/>
  <c r="H220" i="31"/>
  <c r="G220" i="31"/>
  <c r="F220" i="31"/>
  <c r="E220" i="31"/>
  <c r="D220" i="31"/>
  <c r="C220" i="31"/>
  <c r="C214" i="31"/>
  <c r="C209" i="31"/>
  <c r="AA207" i="31"/>
  <c r="Z207" i="31"/>
  <c r="Y207" i="31"/>
  <c r="X207" i="31"/>
  <c r="W207" i="31"/>
  <c r="V207" i="31"/>
  <c r="U207" i="31"/>
  <c r="T207" i="31"/>
  <c r="S207" i="31"/>
  <c r="R207" i="31"/>
  <c r="Q207" i="31"/>
  <c r="AB207" i="31" s="1"/>
  <c r="P207" i="31"/>
  <c r="N207" i="31"/>
  <c r="N208" i="31"/>
  <c r="M207" i="31"/>
  <c r="M208" i="31"/>
  <c r="L207" i="31"/>
  <c r="L208" i="31"/>
  <c r="K207" i="31"/>
  <c r="K208" i="31"/>
  <c r="J207" i="31"/>
  <c r="J208" i="31"/>
  <c r="I207" i="31"/>
  <c r="I208" i="31"/>
  <c r="H207" i="31"/>
  <c r="H208" i="31"/>
  <c r="G207" i="31"/>
  <c r="G208" i="31"/>
  <c r="F207" i="31"/>
  <c r="F208" i="31"/>
  <c r="E207" i="31"/>
  <c r="E208" i="31"/>
  <c r="D207" i="31"/>
  <c r="D208" i="31"/>
  <c r="C207" i="31"/>
  <c r="C208" i="31" s="1"/>
  <c r="P206" i="31"/>
  <c r="P208" i="31" s="1"/>
  <c r="O206" i="31"/>
  <c r="C203" i="31"/>
  <c r="AA201" i="31"/>
  <c r="Z201" i="31"/>
  <c r="Y201" i="31"/>
  <c r="X201" i="31"/>
  <c r="W201" i="31"/>
  <c r="V201" i="31"/>
  <c r="U201" i="31"/>
  <c r="T201" i="31"/>
  <c r="S201" i="31"/>
  <c r="R201" i="31"/>
  <c r="Q201" i="31"/>
  <c r="P201" i="31"/>
  <c r="N201" i="31"/>
  <c r="N202" i="31"/>
  <c r="M201" i="31"/>
  <c r="M202" i="31" s="1"/>
  <c r="L201" i="31"/>
  <c r="L202" i="31"/>
  <c r="K201" i="31"/>
  <c r="K202" i="31" s="1"/>
  <c r="J201" i="31"/>
  <c r="J202" i="31"/>
  <c r="I201" i="31"/>
  <c r="I202" i="31" s="1"/>
  <c r="H201" i="31"/>
  <c r="H202" i="31"/>
  <c r="G201" i="31"/>
  <c r="G202" i="31" s="1"/>
  <c r="F201" i="31"/>
  <c r="F202" i="31"/>
  <c r="E201" i="31"/>
  <c r="E202" i="31" s="1"/>
  <c r="D201" i="31"/>
  <c r="D202" i="31"/>
  <c r="C201" i="31"/>
  <c r="C202" i="31" s="1"/>
  <c r="P200" i="31"/>
  <c r="O200" i="31"/>
  <c r="D197" i="31"/>
  <c r="D209" i="31" s="1"/>
  <c r="P195" i="31"/>
  <c r="P222" i="31" s="1"/>
  <c r="AD194" i="31"/>
  <c r="AE194" i="31" s="1"/>
  <c r="AF194" i="31" s="1"/>
  <c r="AG194" i="31" s="1"/>
  <c r="AH194" i="31" s="1"/>
  <c r="AI194" i="31" s="1"/>
  <c r="AJ194" i="31" s="1"/>
  <c r="AB193" i="31"/>
  <c r="V193" i="31" s="1"/>
  <c r="N193" i="31"/>
  <c r="M193" i="31"/>
  <c r="L193" i="31"/>
  <c r="K193" i="31"/>
  <c r="J193" i="31"/>
  <c r="I193" i="31"/>
  <c r="H193" i="31"/>
  <c r="G193" i="31"/>
  <c r="F193" i="31"/>
  <c r="E193" i="31"/>
  <c r="D193" i="31"/>
  <c r="C193" i="31"/>
  <c r="C187" i="31"/>
  <c r="D182" i="31"/>
  <c r="E182" i="31" s="1"/>
  <c r="F182" i="31" s="1"/>
  <c r="G182" i="31" s="1"/>
  <c r="H182" i="31" s="1"/>
  <c r="I182" i="31" s="1"/>
  <c r="J182" i="31" s="1"/>
  <c r="K182" i="31" s="1"/>
  <c r="L182" i="31" s="1"/>
  <c r="M182" i="31" s="1"/>
  <c r="N182" i="31" s="1"/>
  <c r="AA180" i="31"/>
  <c r="Z180" i="31"/>
  <c r="Y180" i="31"/>
  <c r="X180" i="31"/>
  <c r="W180" i="31"/>
  <c r="V180" i="31"/>
  <c r="U180" i="31"/>
  <c r="T180" i="31"/>
  <c r="S180" i="31"/>
  <c r="R180" i="31"/>
  <c r="Q180" i="31"/>
  <c r="P180" i="31"/>
  <c r="AB180" i="31" s="1"/>
  <c r="N180" i="31"/>
  <c r="N181" i="31"/>
  <c r="M180" i="31"/>
  <c r="M181" i="31" s="1"/>
  <c r="M183" i="31" s="1"/>
  <c r="L180" i="31"/>
  <c r="L181" i="31"/>
  <c r="L183" i="31" s="1"/>
  <c r="K180" i="31"/>
  <c r="K181" i="31" s="1"/>
  <c r="J180" i="31"/>
  <c r="J181" i="31" s="1"/>
  <c r="I180" i="31"/>
  <c r="I181" i="31" s="1"/>
  <c r="I183" i="31" s="1"/>
  <c r="H180" i="31"/>
  <c r="H181" i="31" s="1"/>
  <c r="H183" i="31" s="1"/>
  <c r="G180" i="31"/>
  <c r="G181" i="31" s="1"/>
  <c r="F180" i="31"/>
  <c r="F181" i="31"/>
  <c r="E180" i="31"/>
  <c r="E181" i="31" s="1"/>
  <c r="E183" i="31" s="1"/>
  <c r="D180" i="31"/>
  <c r="D181" i="31"/>
  <c r="D183" i="31" s="1"/>
  <c r="C180" i="31"/>
  <c r="C181" i="31" s="1"/>
  <c r="P179" i="31"/>
  <c r="P181" i="31" s="1"/>
  <c r="O179" i="31"/>
  <c r="C176" i="31"/>
  <c r="AA174" i="31"/>
  <c r="Z174" i="31"/>
  <c r="Y174" i="31"/>
  <c r="X174" i="31"/>
  <c r="W174" i="31"/>
  <c r="V174" i="31"/>
  <c r="U174" i="31"/>
  <c r="T174" i="31"/>
  <c r="S174" i="31"/>
  <c r="R174" i="31"/>
  <c r="Q174" i="31"/>
  <c r="P174" i="31"/>
  <c r="AB174" i="31"/>
  <c r="N174" i="31"/>
  <c r="N175" i="31"/>
  <c r="M174" i="31"/>
  <c r="M175" i="31"/>
  <c r="L174" i="31"/>
  <c r="L175" i="31" s="1"/>
  <c r="K174" i="31"/>
  <c r="K175" i="31"/>
  <c r="J174" i="31"/>
  <c r="J175" i="31"/>
  <c r="I174" i="31"/>
  <c r="I175" i="31"/>
  <c r="H174" i="31"/>
  <c r="H175" i="31"/>
  <c r="G174" i="31"/>
  <c r="G175" i="31"/>
  <c r="F174" i="31"/>
  <c r="F175" i="31"/>
  <c r="E174" i="31"/>
  <c r="E175" i="31"/>
  <c r="D174" i="31"/>
  <c r="D175" i="31"/>
  <c r="C174" i="31"/>
  <c r="C175" i="31"/>
  <c r="P173" i="31"/>
  <c r="P175" i="31"/>
  <c r="O173" i="31"/>
  <c r="D170" i="31"/>
  <c r="D176" i="31" s="1"/>
  <c r="AG168" i="31"/>
  <c r="AG195" i="31" s="1"/>
  <c r="AG222" i="31" s="1"/>
  <c r="AH330" i="31" s="1"/>
  <c r="AH357" i="31" s="1"/>
  <c r="AH384" i="31" s="1"/>
  <c r="AH411" i="31" s="1"/>
  <c r="Q168" i="31"/>
  <c r="Q195" i="31" s="1"/>
  <c r="Q222" i="31" s="1"/>
  <c r="AD167" i="31"/>
  <c r="AE167" i="31" s="1"/>
  <c r="AF167" i="31" s="1"/>
  <c r="AG167" i="31" s="1"/>
  <c r="AH167" i="31" s="1"/>
  <c r="AI167" i="31" s="1"/>
  <c r="AJ167" i="31" s="1"/>
  <c r="AB166" i="31"/>
  <c r="AC166" i="31" s="1"/>
  <c r="W166" i="31"/>
  <c r="V166" i="31"/>
  <c r="S166" i="31"/>
  <c r="R166" i="31"/>
  <c r="P166" i="31"/>
  <c r="P169" i="31" s="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C160" i="31"/>
  <c r="C155" i="31"/>
  <c r="AA153" i="31"/>
  <c r="Z153" i="31"/>
  <c r="Y153" i="31"/>
  <c r="X153" i="31"/>
  <c r="W153" i="31"/>
  <c r="V153" i="31"/>
  <c r="U153" i="31"/>
  <c r="T153" i="31"/>
  <c r="S153" i="31"/>
  <c r="R153" i="31"/>
  <c r="AB153" i="31" s="1"/>
  <c r="Q153" i="31"/>
  <c r="P153" i="31"/>
  <c r="N153" i="31"/>
  <c r="N154" i="31" s="1"/>
  <c r="M153" i="31"/>
  <c r="M154" i="31"/>
  <c r="L153" i="31"/>
  <c r="L154" i="31" s="1"/>
  <c r="K153" i="31"/>
  <c r="K154" i="31"/>
  <c r="J153" i="31"/>
  <c r="J154" i="31" s="1"/>
  <c r="I153" i="31"/>
  <c r="I154" i="31"/>
  <c r="H153" i="31"/>
  <c r="H154" i="31" s="1"/>
  <c r="G153" i="31"/>
  <c r="G154" i="31"/>
  <c r="F153" i="31"/>
  <c r="F154" i="31" s="1"/>
  <c r="E153" i="31"/>
  <c r="E154" i="31"/>
  <c r="D153" i="31"/>
  <c r="D154" i="31" s="1"/>
  <c r="C153" i="31"/>
  <c r="C154" i="31" s="1"/>
  <c r="P152" i="31"/>
  <c r="P154" i="31" s="1"/>
  <c r="O152" i="31"/>
  <c r="C149" i="31"/>
  <c r="AA147" i="31"/>
  <c r="Z147" i="31"/>
  <c r="Y147" i="31"/>
  <c r="X147" i="31"/>
  <c r="W147" i="31"/>
  <c r="V147" i="31"/>
  <c r="U147" i="31"/>
  <c r="T147" i="31"/>
  <c r="S147" i="31"/>
  <c r="R147" i="31"/>
  <c r="Q147" i="31"/>
  <c r="P147" i="31"/>
  <c r="AB147" i="31"/>
  <c r="N147" i="31"/>
  <c r="N148" i="31" s="1"/>
  <c r="M147" i="31"/>
  <c r="M148" i="31"/>
  <c r="L147" i="31"/>
  <c r="L148" i="31" s="1"/>
  <c r="K147" i="31"/>
  <c r="K148" i="31"/>
  <c r="J147" i="31"/>
  <c r="J148" i="31" s="1"/>
  <c r="I147" i="31"/>
  <c r="I148" i="31"/>
  <c r="H147" i="31"/>
  <c r="H148" i="31" s="1"/>
  <c r="G147" i="31"/>
  <c r="G148" i="31"/>
  <c r="F147" i="31"/>
  <c r="F148" i="31" s="1"/>
  <c r="E147" i="31"/>
  <c r="E148" i="31"/>
  <c r="D147" i="31"/>
  <c r="D148" i="31" s="1"/>
  <c r="C147" i="31"/>
  <c r="C148" i="31"/>
  <c r="P146" i="31"/>
  <c r="P148" i="31" s="1"/>
  <c r="O146" i="31"/>
  <c r="D143" i="31"/>
  <c r="D155" i="31" s="1"/>
  <c r="AD140" i="31"/>
  <c r="AE140" i="31" s="1"/>
  <c r="AF140" i="31" s="1"/>
  <c r="AG140" i="31" s="1"/>
  <c r="AH140" i="31" s="1"/>
  <c r="AI140" i="31" s="1"/>
  <c r="AJ140" i="31" s="1"/>
  <c r="AB139" i="31"/>
  <c r="AC139" i="31"/>
  <c r="Z139" i="31"/>
  <c r="X139" i="31"/>
  <c r="V139" i="31"/>
  <c r="U139" i="31"/>
  <c r="T139" i="31"/>
  <c r="S139" i="31"/>
  <c r="R139" i="31"/>
  <c r="Q139" i="31"/>
  <c r="P139" i="31"/>
  <c r="N139" i="31"/>
  <c r="M139" i="31"/>
  <c r="L139" i="31"/>
  <c r="K139" i="31"/>
  <c r="J139" i="31"/>
  <c r="I139" i="31"/>
  <c r="H139" i="31"/>
  <c r="G139" i="31"/>
  <c r="F139" i="31"/>
  <c r="E139" i="31"/>
  <c r="D139" i="31"/>
  <c r="C139" i="31"/>
  <c r="C133" i="31"/>
  <c r="C128" i="31"/>
  <c r="AA126" i="31"/>
  <c r="Z126" i="31"/>
  <c r="Y126" i="31"/>
  <c r="X126" i="31"/>
  <c r="W126" i="31"/>
  <c r="V126" i="31"/>
  <c r="U126" i="31"/>
  <c r="T126" i="31"/>
  <c r="S126" i="31"/>
  <c r="R126" i="31"/>
  <c r="AB126" i="31" s="1"/>
  <c r="Q126" i="31"/>
  <c r="P126" i="31"/>
  <c r="N126" i="31"/>
  <c r="N127" i="31" s="1"/>
  <c r="M126" i="31"/>
  <c r="M127" i="31"/>
  <c r="L126" i="31"/>
  <c r="L127" i="31" s="1"/>
  <c r="K126" i="31"/>
  <c r="K127" i="31"/>
  <c r="J126" i="31"/>
  <c r="J127" i="31" s="1"/>
  <c r="I126" i="31"/>
  <c r="I127" i="31"/>
  <c r="H126" i="31"/>
  <c r="H127" i="31" s="1"/>
  <c r="G126" i="31"/>
  <c r="G127" i="31"/>
  <c r="F126" i="31"/>
  <c r="F127" i="31" s="1"/>
  <c r="E126" i="31"/>
  <c r="E127" i="31"/>
  <c r="D126" i="31"/>
  <c r="D127" i="31" s="1"/>
  <c r="C126" i="31"/>
  <c r="C127" i="31"/>
  <c r="P125" i="31"/>
  <c r="Q125" i="31" s="1"/>
  <c r="O125" i="31"/>
  <c r="C122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N120" i="31"/>
  <c r="N121" i="31" s="1"/>
  <c r="M120" i="31"/>
  <c r="M121" i="31" s="1"/>
  <c r="L120" i="31"/>
  <c r="L121" i="31" s="1"/>
  <c r="K120" i="31"/>
  <c r="K121" i="31" s="1"/>
  <c r="J120" i="31"/>
  <c r="J121" i="31" s="1"/>
  <c r="I120" i="31"/>
  <c r="I121" i="31" s="1"/>
  <c r="H120" i="31"/>
  <c r="H121" i="31" s="1"/>
  <c r="G120" i="31"/>
  <c r="G121" i="31" s="1"/>
  <c r="F120" i="31"/>
  <c r="F121" i="31" s="1"/>
  <c r="E120" i="31"/>
  <c r="E121" i="31" s="1"/>
  <c r="D120" i="31"/>
  <c r="D121" i="31" s="1"/>
  <c r="C120" i="31"/>
  <c r="C121" i="31" s="1"/>
  <c r="P119" i="31"/>
  <c r="Q119" i="31" s="1"/>
  <c r="O119" i="31"/>
  <c r="D116" i="31"/>
  <c r="E116" i="31"/>
  <c r="AF114" i="31"/>
  <c r="AF141" i="31" s="1"/>
  <c r="AC114" i="31"/>
  <c r="AC141" i="31"/>
  <c r="V114" i="31"/>
  <c r="V141" i="31" s="1"/>
  <c r="P114" i="31"/>
  <c r="P141" i="31"/>
  <c r="AD113" i="31"/>
  <c r="AE113" i="31" s="1"/>
  <c r="AF113" i="31" s="1"/>
  <c r="AG113" i="31" s="1"/>
  <c r="AH113" i="31" s="1"/>
  <c r="AI113" i="31" s="1"/>
  <c r="AJ113" i="31" s="1"/>
  <c r="AB112" i="31"/>
  <c r="AC112" i="31" s="1"/>
  <c r="Z112" i="31"/>
  <c r="Y112" i="31"/>
  <c r="X112" i="31"/>
  <c r="V112" i="31"/>
  <c r="V115" i="31"/>
  <c r="U112" i="31"/>
  <c r="S112" i="31"/>
  <c r="R112" i="31"/>
  <c r="Q112" i="31"/>
  <c r="N112" i="31"/>
  <c r="M112" i="31"/>
  <c r="L112" i="31"/>
  <c r="K112" i="31"/>
  <c r="J112" i="31"/>
  <c r="I112" i="31"/>
  <c r="H112" i="31"/>
  <c r="G112" i="31"/>
  <c r="F112" i="31"/>
  <c r="E112" i="31"/>
  <c r="D112" i="31"/>
  <c r="C112" i="31"/>
  <c r="C106" i="31"/>
  <c r="C101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AB99" i="31" s="1"/>
  <c r="N99" i="31"/>
  <c r="N100" i="31"/>
  <c r="M99" i="31"/>
  <c r="M100" i="31" s="1"/>
  <c r="L99" i="31"/>
  <c r="L100" i="31"/>
  <c r="K99" i="31"/>
  <c r="K100" i="31" s="1"/>
  <c r="J99" i="31"/>
  <c r="J100" i="31"/>
  <c r="I99" i="31"/>
  <c r="I100" i="31" s="1"/>
  <c r="H99" i="31"/>
  <c r="H100" i="31"/>
  <c r="G99" i="31"/>
  <c r="G100" i="31" s="1"/>
  <c r="F99" i="31"/>
  <c r="F100" i="31"/>
  <c r="E99" i="31"/>
  <c r="E100" i="31" s="1"/>
  <c r="D99" i="31"/>
  <c r="D100" i="31"/>
  <c r="C99" i="31"/>
  <c r="C100" i="31" s="1"/>
  <c r="P98" i="31"/>
  <c r="O98" i="31"/>
  <c r="C95" i="31"/>
  <c r="AA93" i="31"/>
  <c r="Z93" i="31"/>
  <c r="Y93" i="31"/>
  <c r="X93" i="31"/>
  <c r="W93" i="31"/>
  <c r="V93" i="31"/>
  <c r="U93" i="31"/>
  <c r="T93" i="31"/>
  <c r="S93" i="31"/>
  <c r="R93" i="31"/>
  <c r="Q93" i="31"/>
  <c r="P93" i="31"/>
  <c r="AB93" i="31"/>
  <c r="N93" i="31"/>
  <c r="N94" i="31" s="1"/>
  <c r="M93" i="31"/>
  <c r="M94" i="31"/>
  <c r="L93" i="31"/>
  <c r="L94" i="31" s="1"/>
  <c r="K93" i="31"/>
  <c r="K94" i="31"/>
  <c r="J93" i="31"/>
  <c r="J94" i="31" s="1"/>
  <c r="I93" i="31"/>
  <c r="I94" i="31"/>
  <c r="H93" i="31"/>
  <c r="H94" i="31" s="1"/>
  <c r="G93" i="31"/>
  <c r="G94" i="31"/>
  <c r="F93" i="31"/>
  <c r="F94" i="31" s="1"/>
  <c r="E93" i="31"/>
  <c r="E94" i="31"/>
  <c r="D93" i="31"/>
  <c r="D94" i="31" s="1"/>
  <c r="C93" i="31"/>
  <c r="C94" i="31"/>
  <c r="P92" i="31"/>
  <c r="P94" i="31" s="1"/>
  <c r="O92" i="31"/>
  <c r="D89" i="31"/>
  <c r="D101" i="31" s="1"/>
  <c r="AG87" i="31"/>
  <c r="AH249" i="31" s="1"/>
  <c r="AH276" i="31" s="1"/>
  <c r="AH303" i="31" s="1"/>
  <c r="AD87" i="31"/>
  <c r="AE249" i="31" s="1"/>
  <c r="AE276" i="31" s="1"/>
  <c r="AE303" i="31" s="1"/>
  <c r="W87" i="31"/>
  <c r="W114" i="31" s="1"/>
  <c r="W141" i="31" s="1"/>
  <c r="Q87" i="31"/>
  <c r="R87" i="31" s="1"/>
  <c r="AD86" i="31"/>
  <c r="AE86" i="31" s="1"/>
  <c r="AF86" i="31" s="1"/>
  <c r="AG86" i="31" s="1"/>
  <c r="AH86" i="31" s="1"/>
  <c r="AI86" i="31" s="1"/>
  <c r="AJ86" i="31" s="1"/>
  <c r="AB85" i="31"/>
  <c r="AC85" i="31" s="1"/>
  <c r="Z85" i="31"/>
  <c r="V85" i="31"/>
  <c r="V88" i="31" s="1"/>
  <c r="T85" i="31"/>
  <c r="R85" i="31"/>
  <c r="P85" i="31"/>
  <c r="P88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C79" i="31"/>
  <c r="D74" i="31"/>
  <c r="E74" i="31" s="1"/>
  <c r="F74" i="31" s="1"/>
  <c r="G74" i="31" s="1"/>
  <c r="H74" i="31" s="1"/>
  <c r="I74" i="31" s="1"/>
  <c r="J74" i="31" s="1"/>
  <c r="K74" i="31" s="1"/>
  <c r="L74" i="31" s="1"/>
  <c r="M74" i="31" s="1"/>
  <c r="N74" i="31" s="1"/>
  <c r="AA72" i="31"/>
  <c r="Z72" i="31"/>
  <c r="Y72" i="31"/>
  <c r="X72" i="31"/>
  <c r="W72" i="31"/>
  <c r="V72" i="31"/>
  <c r="U72" i="31"/>
  <c r="T72" i="31"/>
  <c r="S72" i="31"/>
  <c r="R72" i="31"/>
  <c r="AB72" i="31" s="1"/>
  <c r="Q72" i="31"/>
  <c r="P72" i="31"/>
  <c r="O72" i="31"/>
  <c r="AJ71" i="31"/>
  <c r="AJ73" i="31" s="1"/>
  <c r="AI71" i="31"/>
  <c r="AI73" i="31"/>
  <c r="AH71" i="31"/>
  <c r="AH73" i="31" s="1"/>
  <c r="AG71" i="31"/>
  <c r="AG73" i="31"/>
  <c r="AF71" i="31"/>
  <c r="AF73" i="31" s="1"/>
  <c r="AE71" i="31"/>
  <c r="AE73" i="31"/>
  <c r="AD71" i="31"/>
  <c r="AD73" i="31" s="1"/>
  <c r="AC71" i="31"/>
  <c r="AC73" i="31"/>
  <c r="N71" i="31"/>
  <c r="N73" i="31" s="1"/>
  <c r="M71" i="31"/>
  <c r="M73" i="31" s="1"/>
  <c r="M75" i="31" s="1"/>
  <c r="L71" i="31"/>
  <c r="L73" i="31"/>
  <c r="L75" i="31" s="1"/>
  <c r="K71" i="31"/>
  <c r="K73" i="31" s="1"/>
  <c r="J71" i="31"/>
  <c r="J73" i="31"/>
  <c r="I71" i="31"/>
  <c r="I73" i="31" s="1"/>
  <c r="I75" i="31" s="1"/>
  <c r="H71" i="31"/>
  <c r="H73" i="31" s="1"/>
  <c r="H75" i="31" s="1"/>
  <c r="G71" i="31"/>
  <c r="G73" i="31" s="1"/>
  <c r="F71" i="31"/>
  <c r="F73" i="31" s="1"/>
  <c r="E71" i="31"/>
  <c r="E73" i="31" s="1"/>
  <c r="E75" i="31" s="1"/>
  <c r="D71" i="31"/>
  <c r="D73" i="31"/>
  <c r="D75" i="31" s="1"/>
  <c r="C71" i="31"/>
  <c r="C73" i="31" s="1"/>
  <c r="D68" i="31"/>
  <c r="E68" i="31" s="1"/>
  <c r="F68" i="31" s="1"/>
  <c r="G68" i="31" s="1"/>
  <c r="H68" i="31" s="1"/>
  <c r="I68" i="31" s="1"/>
  <c r="J68" i="31" s="1"/>
  <c r="K68" i="31" s="1"/>
  <c r="L68" i="31" s="1"/>
  <c r="M68" i="31" s="1"/>
  <c r="N68" i="31" s="1"/>
  <c r="AA66" i="31"/>
  <c r="Z66" i="31"/>
  <c r="Y66" i="31"/>
  <c r="X66" i="31"/>
  <c r="W66" i="31"/>
  <c r="V66" i="31"/>
  <c r="U66" i="31"/>
  <c r="T66" i="31"/>
  <c r="S66" i="31"/>
  <c r="R66" i="31"/>
  <c r="AB66" i="31" s="1"/>
  <c r="Q66" i="31"/>
  <c r="P66" i="31"/>
  <c r="O66" i="31"/>
  <c r="AJ65" i="31"/>
  <c r="AJ67" i="31" s="1"/>
  <c r="AI65" i="31"/>
  <c r="AI67" i="31" s="1"/>
  <c r="AH65" i="31"/>
  <c r="AH67" i="31" s="1"/>
  <c r="AG65" i="31"/>
  <c r="AG67" i="31" s="1"/>
  <c r="AF65" i="31"/>
  <c r="AF67" i="31" s="1"/>
  <c r="AE65" i="31"/>
  <c r="AE67" i="31" s="1"/>
  <c r="AD65" i="31"/>
  <c r="AD67" i="31" s="1"/>
  <c r="AC65" i="31"/>
  <c r="AC67" i="31" s="1"/>
  <c r="N65" i="31"/>
  <c r="N67" i="31" s="1"/>
  <c r="M65" i="31"/>
  <c r="M67" i="31"/>
  <c r="L65" i="31"/>
  <c r="L67" i="31" s="1"/>
  <c r="K65" i="31"/>
  <c r="K67" i="31" s="1"/>
  <c r="J65" i="31"/>
  <c r="J67" i="31" s="1"/>
  <c r="I65" i="31"/>
  <c r="I67" i="31" s="1"/>
  <c r="C65" i="31"/>
  <c r="C67" i="31"/>
  <c r="D62" i="31"/>
  <c r="E62" i="31" s="1"/>
  <c r="F62" i="31" s="1"/>
  <c r="G62" i="31" s="1"/>
  <c r="H62" i="31" s="1"/>
  <c r="I62" i="31" s="1"/>
  <c r="J62" i="31" s="1"/>
  <c r="K62" i="31" s="1"/>
  <c r="L62" i="31" s="1"/>
  <c r="M62" i="31" s="1"/>
  <c r="N62" i="31" s="1"/>
  <c r="AB60" i="31"/>
  <c r="AD59" i="31"/>
  <c r="AE59" i="31" s="1"/>
  <c r="AF59" i="31" s="1"/>
  <c r="AG59" i="31" s="1"/>
  <c r="AH59" i="31" s="1"/>
  <c r="AI59" i="31" s="1"/>
  <c r="AJ59" i="31" s="1"/>
  <c r="AB58" i="31"/>
  <c r="AA58" i="31" s="1"/>
  <c r="AA61" i="31" s="1"/>
  <c r="AC58" i="31"/>
  <c r="Z58" i="31"/>
  <c r="Z61" i="31"/>
  <c r="X58" i="31"/>
  <c r="X61" i="31"/>
  <c r="V58" i="31"/>
  <c r="V61" i="31"/>
  <c r="T58" i="31"/>
  <c r="T61" i="31"/>
  <c r="R58" i="31"/>
  <c r="R61" i="31"/>
  <c r="P58" i="31"/>
  <c r="P61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C52" i="31"/>
  <c r="C47" i="31"/>
  <c r="AJ46" i="31"/>
  <c r="AI46" i="31"/>
  <c r="AH46" i="31"/>
  <c r="AG46" i="31"/>
  <c r="AF46" i="31"/>
  <c r="AE46" i="31"/>
  <c r="AD46" i="31"/>
  <c r="AC46" i="31"/>
  <c r="AA45" i="31"/>
  <c r="AA46" i="31"/>
  <c r="Z45" i="31"/>
  <c r="Z46" i="31" s="1"/>
  <c r="Y45" i="31"/>
  <c r="Y46" i="31"/>
  <c r="X45" i="31"/>
  <c r="X46" i="31" s="1"/>
  <c r="W45" i="31"/>
  <c r="W46" i="31"/>
  <c r="V45" i="31"/>
  <c r="V46" i="31" s="1"/>
  <c r="U45" i="31"/>
  <c r="U46" i="31"/>
  <c r="T45" i="31"/>
  <c r="T46" i="31" s="1"/>
  <c r="S45" i="31"/>
  <c r="S46" i="31"/>
  <c r="R45" i="31"/>
  <c r="R46" i="31" s="1"/>
  <c r="Q45" i="31"/>
  <c r="Q46" i="31"/>
  <c r="P45" i="31"/>
  <c r="P46" i="31" s="1"/>
  <c r="N45" i="31"/>
  <c r="N46" i="31"/>
  <c r="M45" i="31"/>
  <c r="M46" i="31" s="1"/>
  <c r="L45" i="31"/>
  <c r="L46" i="31"/>
  <c r="K45" i="31"/>
  <c r="K46" i="31" s="1"/>
  <c r="J45" i="31"/>
  <c r="J46" i="31"/>
  <c r="I45" i="31"/>
  <c r="I46" i="31" s="1"/>
  <c r="H45" i="31"/>
  <c r="H46" i="31"/>
  <c r="G45" i="31"/>
  <c r="G46" i="31" s="1"/>
  <c r="F45" i="31"/>
  <c r="F46" i="31"/>
  <c r="E45" i="31"/>
  <c r="E46" i="31" s="1"/>
  <c r="D45" i="31"/>
  <c r="D46" i="31"/>
  <c r="C45" i="31"/>
  <c r="C46" i="31" s="1"/>
  <c r="AB44" i="31"/>
  <c r="O44" i="31"/>
  <c r="C41" i="31"/>
  <c r="AJ40" i="31"/>
  <c r="AI40" i="31"/>
  <c r="AH40" i="31"/>
  <c r="AG40" i="31"/>
  <c r="AF40" i="31"/>
  <c r="AE40" i="31"/>
  <c r="AD40" i="31"/>
  <c r="AC40" i="31"/>
  <c r="N40" i="31"/>
  <c r="M40" i="31"/>
  <c r="L40" i="31"/>
  <c r="K40" i="31"/>
  <c r="J40" i="31"/>
  <c r="I40" i="31"/>
  <c r="H40" i="31"/>
  <c r="C40" i="31"/>
  <c r="C42" i="31" s="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O38" i="31"/>
  <c r="P38" i="31" s="1"/>
  <c r="D38" i="31"/>
  <c r="D40" i="31"/>
  <c r="D35" i="31"/>
  <c r="D47" i="31" s="1"/>
  <c r="AF33" i="31"/>
  <c r="P33" i="31"/>
  <c r="N33" i="31"/>
  <c r="N60" i="31" s="1"/>
  <c r="M33" i="31"/>
  <c r="M60" i="31"/>
  <c r="M87" i="31" s="1"/>
  <c r="M114" i="31" s="1"/>
  <c r="M141" i="31" s="1"/>
  <c r="M168" i="31" s="1"/>
  <c r="M195" i="31" s="1"/>
  <c r="M222" i="31" s="1"/>
  <c r="M249" i="31" s="1"/>
  <c r="M276" i="31" s="1"/>
  <c r="L33" i="31"/>
  <c r="L60" i="31" s="1"/>
  <c r="L87" i="31" s="1"/>
  <c r="L114" i="31" s="1"/>
  <c r="L141" i="31" s="1"/>
  <c r="L168" i="31" s="1"/>
  <c r="L195" i="31" s="1"/>
  <c r="L222" i="31" s="1"/>
  <c r="L249" i="31" s="1"/>
  <c r="L276" i="31" s="1"/>
  <c r="L303" i="31" s="1"/>
  <c r="L330" i="31" s="1"/>
  <c r="L357" i="31" s="1"/>
  <c r="L384" i="31" s="1"/>
  <c r="L411" i="31" s="1"/>
  <c r="K33" i="31"/>
  <c r="K60" i="31" s="1"/>
  <c r="K87" i="31" s="1"/>
  <c r="K114" i="31" s="1"/>
  <c r="K141" i="31" s="1"/>
  <c r="K168" i="31" s="1"/>
  <c r="K195" i="31" s="1"/>
  <c r="K222" i="31" s="1"/>
  <c r="K249" i="31" s="1"/>
  <c r="K276" i="31" s="1"/>
  <c r="J33" i="31"/>
  <c r="J60" i="31" s="1"/>
  <c r="J87" i="31" s="1"/>
  <c r="J114" i="31" s="1"/>
  <c r="J141" i="31" s="1"/>
  <c r="J168" i="31" s="1"/>
  <c r="J195" i="31" s="1"/>
  <c r="J222" i="31" s="1"/>
  <c r="J249" i="31" s="1"/>
  <c r="J276" i="31" s="1"/>
  <c r="J303" i="31" s="1"/>
  <c r="J330" i="31" s="1"/>
  <c r="J357" i="31" s="1"/>
  <c r="J384" i="31" s="1"/>
  <c r="J411" i="31" s="1"/>
  <c r="I33" i="31"/>
  <c r="I60" i="31" s="1"/>
  <c r="I87" i="31" s="1"/>
  <c r="I114" i="31" s="1"/>
  <c r="I141" i="31" s="1"/>
  <c r="I168" i="31" s="1"/>
  <c r="I195" i="31" s="1"/>
  <c r="I222" i="31" s="1"/>
  <c r="I249" i="31" s="1"/>
  <c r="I276" i="31" s="1"/>
  <c r="H33" i="31"/>
  <c r="H60" i="31"/>
  <c r="H87" i="31" s="1"/>
  <c r="H114" i="31" s="1"/>
  <c r="H141" i="31" s="1"/>
  <c r="H168" i="31" s="1"/>
  <c r="H195" i="31" s="1"/>
  <c r="H222" i="31" s="1"/>
  <c r="H249" i="31" s="1"/>
  <c r="H276" i="31" s="1"/>
  <c r="H303" i="31" s="1"/>
  <c r="H330" i="31" s="1"/>
  <c r="H357" i="31" s="1"/>
  <c r="H384" i="31" s="1"/>
  <c r="H411" i="31" s="1"/>
  <c r="G33" i="31"/>
  <c r="G60" i="31" s="1"/>
  <c r="G87" i="31" s="1"/>
  <c r="G114" i="31" s="1"/>
  <c r="G141" i="31" s="1"/>
  <c r="G168" i="31" s="1"/>
  <c r="G195" i="31" s="1"/>
  <c r="G222" i="31" s="1"/>
  <c r="G249" i="31" s="1"/>
  <c r="G276" i="31" s="1"/>
  <c r="F33" i="31"/>
  <c r="F60" i="31" s="1"/>
  <c r="F87" i="31" s="1"/>
  <c r="F114" i="31" s="1"/>
  <c r="F141" i="31" s="1"/>
  <c r="F168" i="31" s="1"/>
  <c r="F195" i="31" s="1"/>
  <c r="F222" i="31" s="1"/>
  <c r="F249" i="31" s="1"/>
  <c r="F276" i="31" s="1"/>
  <c r="F303" i="31" s="1"/>
  <c r="F330" i="31" s="1"/>
  <c r="F357" i="31" s="1"/>
  <c r="F384" i="31" s="1"/>
  <c r="F411" i="31" s="1"/>
  <c r="E33" i="31"/>
  <c r="E60" i="31"/>
  <c r="E87" i="31" s="1"/>
  <c r="E114" i="31" s="1"/>
  <c r="E141" i="31" s="1"/>
  <c r="E168" i="31" s="1"/>
  <c r="E195" i="31" s="1"/>
  <c r="E222" i="31" s="1"/>
  <c r="E249" i="31" s="1"/>
  <c r="E276" i="31" s="1"/>
  <c r="D33" i="31"/>
  <c r="D60" i="31" s="1"/>
  <c r="D87" i="31" s="1"/>
  <c r="D114" i="31" s="1"/>
  <c r="D141" i="31" s="1"/>
  <c r="D168" i="31" s="1"/>
  <c r="D195" i="31" s="1"/>
  <c r="D222" i="31" s="1"/>
  <c r="D249" i="31" s="1"/>
  <c r="D276" i="31" s="1"/>
  <c r="D303" i="31" s="1"/>
  <c r="D330" i="31" s="1"/>
  <c r="D357" i="31" s="1"/>
  <c r="D384" i="31" s="1"/>
  <c r="D411" i="31" s="1"/>
  <c r="C33" i="31"/>
  <c r="C60" i="31" s="1"/>
  <c r="C87" i="31" s="1"/>
  <c r="C114" i="31" s="1"/>
  <c r="C141" i="31" s="1"/>
  <c r="C168" i="31" s="1"/>
  <c r="C195" i="31" s="1"/>
  <c r="C222" i="31" s="1"/>
  <c r="C249" i="31" s="1"/>
  <c r="C276" i="31" s="1"/>
  <c r="AD32" i="31"/>
  <c r="AE32" i="31" s="1"/>
  <c r="AF32" i="31" s="1"/>
  <c r="AG32" i="31" s="1"/>
  <c r="AH32" i="31" s="1"/>
  <c r="AI32" i="31" s="1"/>
  <c r="AJ32" i="31" s="1"/>
  <c r="AB31" i="31"/>
  <c r="N31" i="31"/>
  <c r="M31" i="31"/>
  <c r="M34" i="31" s="1"/>
  <c r="L31" i="31"/>
  <c r="L34" i="31" s="1"/>
  <c r="K31" i="31"/>
  <c r="K34" i="31" s="1"/>
  <c r="J31" i="31"/>
  <c r="I31" i="31"/>
  <c r="H31" i="31"/>
  <c r="H34" i="31" s="1"/>
  <c r="G31" i="31"/>
  <c r="F31" i="31"/>
  <c r="E31" i="31"/>
  <c r="E34" i="31" s="1"/>
  <c r="D31" i="31"/>
  <c r="C31" i="31"/>
  <c r="C34" i="31" s="1"/>
  <c r="D25" i="31"/>
  <c r="C20" i="31"/>
  <c r="AJ19" i="31"/>
  <c r="AI19" i="31"/>
  <c r="AH19" i="31"/>
  <c r="AG19" i="31"/>
  <c r="AF19" i="31"/>
  <c r="AE19" i="31"/>
  <c r="AD19" i="31"/>
  <c r="AC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C21" i="31" s="1"/>
  <c r="AA18" i="31"/>
  <c r="Z18" i="31"/>
  <c r="Y18" i="31"/>
  <c r="X18" i="31"/>
  <c r="W18" i="31"/>
  <c r="V18" i="31"/>
  <c r="U18" i="31"/>
  <c r="T18" i="31"/>
  <c r="S18" i="31"/>
  <c r="R18" i="31"/>
  <c r="Q18" i="31"/>
  <c r="P18" i="31"/>
  <c r="AB18" i="31" s="1"/>
  <c r="O18" i="31"/>
  <c r="O17" i="31"/>
  <c r="P17" i="31" s="1"/>
  <c r="C14" i="31"/>
  <c r="AJ13" i="31"/>
  <c r="AI13" i="31"/>
  <c r="AH13" i="31"/>
  <c r="AG13" i="31"/>
  <c r="AF13" i="31"/>
  <c r="AE13" i="31"/>
  <c r="AD13" i="31"/>
  <c r="AC13" i="31"/>
  <c r="N13" i="31"/>
  <c r="M13" i="31"/>
  <c r="L13" i="31"/>
  <c r="K13" i="31"/>
  <c r="J13" i="31"/>
  <c r="I13" i="31"/>
  <c r="C13" i="31"/>
  <c r="C15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AB12" i="31" s="1"/>
  <c r="O12" i="31"/>
  <c r="O11" i="31"/>
  <c r="O65" i="31"/>
  <c r="D11" i="31"/>
  <c r="D8" i="31"/>
  <c r="D20" i="31"/>
  <c r="AG6" i="31"/>
  <c r="AH168" i="31" s="1"/>
  <c r="AH195" i="31" s="1"/>
  <c r="AH222" i="31" s="1"/>
  <c r="AI330" i="31" s="1"/>
  <c r="AI357" i="31" s="1"/>
  <c r="AI384" i="31" s="1"/>
  <c r="AI411" i="31" s="1"/>
  <c r="Q6" i="31"/>
  <c r="R6" i="31" s="1"/>
  <c r="S6" i="31" s="1"/>
  <c r="Q33" i="31"/>
  <c r="O6" i="31"/>
  <c r="AD5" i="31"/>
  <c r="AE5" i="31" s="1"/>
  <c r="AF5" i="31" s="1"/>
  <c r="AG5" i="31" s="1"/>
  <c r="AH5" i="31" s="1"/>
  <c r="AI5" i="31" s="1"/>
  <c r="AJ5" i="31" s="1"/>
  <c r="O4" i="31"/>
  <c r="AB4" i="31"/>
  <c r="N4" i="31"/>
  <c r="N7" i="31" s="1"/>
  <c r="M4" i="31"/>
  <c r="M7" i="31"/>
  <c r="L4" i="31"/>
  <c r="L7" i="31" s="1"/>
  <c r="K4" i="31"/>
  <c r="K7" i="31"/>
  <c r="J4" i="31"/>
  <c r="J7" i="31" s="1"/>
  <c r="I4" i="31"/>
  <c r="I7" i="31"/>
  <c r="H4" i="31"/>
  <c r="H7" i="31" s="1"/>
  <c r="G4" i="31"/>
  <c r="G7" i="31"/>
  <c r="F4" i="31"/>
  <c r="F7" i="31" s="1"/>
  <c r="E4" i="31"/>
  <c r="E7" i="31"/>
  <c r="D4" i="31"/>
  <c r="D7" i="31" s="1"/>
  <c r="D9" i="31" s="1"/>
  <c r="C4" i="31"/>
  <c r="C7" i="31" s="1"/>
  <c r="L20" i="30"/>
  <c r="J20" i="30"/>
  <c r="H20" i="30"/>
  <c r="G29" i="30"/>
  <c r="H29" i="30" s="1"/>
  <c r="E29" i="30"/>
  <c r="D29" i="30" s="1"/>
  <c r="C19" i="30"/>
  <c r="B15" i="30"/>
  <c r="B22" i="30"/>
  <c r="AL6" i="5"/>
  <c r="AM6" i="5" s="1"/>
  <c r="U195" i="5"/>
  <c r="U222" i="5" s="1"/>
  <c r="AN195" i="5"/>
  <c r="AN222" i="5" s="1"/>
  <c r="AL195" i="5"/>
  <c r="AL222" i="5" s="1"/>
  <c r="AK195" i="5"/>
  <c r="AJ195" i="5"/>
  <c r="AI195" i="5"/>
  <c r="AA114" i="5"/>
  <c r="AA141" i="5" s="1"/>
  <c r="U114" i="5"/>
  <c r="U141" i="5" s="1"/>
  <c r="AB114" i="5"/>
  <c r="AB141" i="5" s="1"/>
  <c r="B48" i="29"/>
  <c r="B53" i="29" s="1"/>
  <c r="CS27" i="7"/>
  <c r="CT27" i="7"/>
  <c r="DM27" i="7" s="1"/>
  <c r="T4" i="5"/>
  <c r="B33" i="29"/>
  <c r="B36" i="29" s="1"/>
  <c r="F35" i="29"/>
  <c r="DD30" i="7"/>
  <c r="DW30" i="7" s="1"/>
  <c r="DC30" i="7"/>
  <c r="DV30" i="7" s="1"/>
  <c r="DA30" i="7"/>
  <c r="DT30" i="7" s="1"/>
  <c r="CZ30" i="7"/>
  <c r="DS30" i="7" s="1"/>
  <c r="CY30" i="7"/>
  <c r="DR30" i="7" s="1"/>
  <c r="CX30" i="7"/>
  <c r="DQ30" i="7" s="1"/>
  <c r="CV30" i="7"/>
  <c r="DO30" i="7" s="1"/>
  <c r="CU30" i="7"/>
  <c r="DN30" i="7" s="1"/>
  <c r="CT30" i="7"/>
  <c r="DM30" i="7" s="1"/>
  <c r="CS30" i="7"/>
  <c r="DL30" i="7" s="1"/>
  <c r="DD29" i="7"/>
  <c r="DW29" i="7" s="1"/>
  <c r="DC29" i="7"/>
  <c r="DV29" i="7" s="1"/>
  <c r="DB29" i="7"/>
  <c r="DU29" i="7" s="1"/>
  <c r="DA29" i="7"/>
  <c r="DT29" i="7" s="1"/>
  <c r="CZ29" i="7"/>
  <c r="DS29" i="7" s="1"/>
  <c r="CY29" i="7"/>
  <c r="DR29" i="7" s="1"/>
  <c r="CX29" i="7"/>
  <c r="DQ29" i="7" s="1"/>
  <c r="CW29" i="7"/>
  <c r="CV29" i="7"/>
  <c r="DO29" i="7" s="1"/>
  <c r="CU29" i="7"/>
  <c r="DN29" i="7" s="1"/>
  <c r="CT29" i="7"/>
  <c r="DC25" i="7"/>
  <c r="DV25" i="7" s="1"/>
  <c r="DB25" i="7"/>
  <c r="DU25" i="7" s="1"/>
  <c r="DA25" i="7"/>
  <c r="DT25" i="7" s="1"/>
  <c r="CZ25" i="7"/>
  <c r="DS25" i="7" s="1"/>
  <c r="CY25" i="7"/>
  <c r="DR25" i="7" s="1"/>
  <c r="CX25" i="7"/>
  <c r="DQ25" i="7" s="1"/>
  <c r="CU25" i="7"/>
  <c r="DN25" i="7" s="1"/>
  <c r="CT25" i="7"/>
  <c r="DM25" i="7" s="1"/>
  <c r="CZ24" i="7"/>
  <c r="DS24" i="7" s="1"/>
  <c r="CX24" i="7"/>
  <c r="DQ24" i="7" s="1"/>
  <c r="CT24" i="7"/>
  <c r="DM24" i="7" s="1"/>
  <c r="CX23" i="7"/>
  <c r="DQ23" i="7" s="1"/>
  <c r="CW23" i="7"/>
  <c r="DP23" i="7" s="1"/>
  <c r="CT23" i="7"/>
  <c r="DM23" i="7" s="1"/>
  <c r="CS23" i="7"/>
  <c r="DL23" i="7" s="1"/>
  <c r="CS19" i="7"/>
  <c r="DL19" i="7" s="1"/>
  <c r="CT18" i="7"/>
  <c r="DM18" i="7" s="1"/>
  <c r="AF423" i="5"/>
  <c r="AE423" i="5"/>
  <c r="AD423" i="5"/>
  <c r="AC423" i="5"/>
  <c r="AB423" i="5"/>
  <c r="AA423" i="5"/>
  <c r="Z423" i="5"/>
  <c r="Y423" i="5"/>
  <c r="X423" i="5"/>
  <c r="W423" i="5"/>
  <c r="V423" i="5"/>
  <c r="U423" i="5"/>
  <c r="S423" i="5"/>
  <c r="S424" i="5"/>
  <c r="R423" i="5"/>
  <c r="R424" i="5" s="1"/>
  <c r="Q423" i="5"/>
  <c r="Q424" i="5"/>
  <c r="P423" i="5"/>
  <c r="P424" i="5" s="1"/>
  <c r="O423" i="5"/>
  <c r="O424" i="5"/>
  <c r="N423" i="5"/>
  <c r="U422" i="5"/>
  <c r="V422" i="5" s="1"/>
  <c r="T422" i="5"/>
  <c r="AF417" i="5"/>
  <c r="AE417" i="5"/>
  <c r="AD417" i="5"/>
  <c r="AC417" i="5"/>
  <c r="AB417" i="5"/>
  <c r="AA417" i="5"/>
  <c r="Z417" i="5"/>
  <c r="Y417" i="5"/>
  <c r="X417" i="5"/>
  <c r="W417" i="5"/>
  <c r="V417" i="5"/>
  <c r="U417" i="5"/>
  <c r="S417" i="5"/>
  <c r="S418" i="5" s="1"/>
  <c r="R417" i="5"/>
  <c r="R418" i="5" s="1"/>
  <c r="Q417" i="5"/>
  <c r="Q418" i="5"/>
  <c r="P417" i="5"/>
  <c r="P418" i="5" s="1"/>
  <c r="O417" i="5"/>
  <c r="O418" i="5"/>
  <c r="N417" i="5"/>
  <c r="N418" i="5" s="1"/>
  <c r="U416" i="5"/>
  <c r="T416" i="5"/>
  <c r="V411" i="5"/>
  <c r="W411" i="5" s="1"/>
  <c r="AI410" i="5"/>
  <c r="AJ410" i="5" s="1"/>
  <c r="AG409" i="5"/>
  <c r="AH409" i="5" s="1"/>
  <c r="S409" i="5"/>
  <c r="R409" i="5"/>
  <c r="Q409" i="5"/>
  <c r="P409" i="5"/>
  <c r="O409" i="5"/>
  <c r="N409" i="5"/>
  <c r="AF396" i="5"/>
  <c r="AE396" i="5"/>
  <c r="AD396" i="5"/>
  <c r="AC396" i="5"/>
  <c r="AB396" i="5"/>
  <c r="AA396" i="5"/>
  <c r="Z396" i="5"/>
  <c r="Y396" i="5"/>
  <c r="X396" i="5"/>
  <c r="W396" i="5"/>
  <c r="V396" i="5"/>
  <c r="U396" i="5"/>
  <c r="S396" i="5"/>
  <c r="S397" i="5"/>
  <c r="R396" i="5"/>
  <c r="R397" i="5" s="1"/>
  <c r="Q396" i="5"/>
  <c r="Q397" i="5"/>
  <c r="P396" i="5"/>
  <c r="P397" i="5" s="1"/>
  <c r="O396" i="5"/>
  <c r="O397" i="5"/>
  <c r="N396" i="5"/>
  <c r="N397" i="5" s="1"/>
  <c r="U395" i="5"/>
  <c r="V395" i="5"/>
  <c r="T395" i="5"/>
  <c r="AF390" i="5"/>
  <c r="AE390" i="5"/>
  <c r="AD390" i="5"/>
  <c r="AC390" i="5"/>
  <c r="AB390" i="5"/>
  <c r="AA390" i="5"/>
  <c r="Z390" i="5"/>
  <c r="Y390" i="5"/>
  <c r="X390" i="5"/>
  <c r="W390" i="5"/>
  <c r="V390" i="5"/>
  <c r="U390" i="5"/>
  <c r="S390" i="5"/>
  <c r="S391" i="5" s="1"/>
  <c r="R390" i="5"/>
  <c r="R391" i="5" s="1"/>
  <c r="Q390" i="5"/>
  <c r="Q391" i="5" s="1"/>
  <c r="P390" i="5"/>
  <c r="P391" i="5" s="1"/>
  <c r="O390" i="5"/>
  <c r="O391" i="5" s="1"/>
  <c r="N390" i="5"/>
  <c r="N391" i="5" s="1"/>
  <c r="U389" i="5"/>
  <c r="T389" i="5"/>
  <c r="V384" i="5"/>
  <c r="W384" i="5" s="1"/>
  <c r="X384" i="5" s="1"/>
  <c r="Y384" i="5" s="1"/>
  <c r="Z384" i="5" s="1"/>
  <c r="AI383" i="5"/>
  <c r="AJ383" i="5" s="1"/>
  <c r="AK383" i="5" s="1"/>
  <c r="AL383" i="5" s="1"/>
  <c r="AM383" i="5" s="1"/>
  <c r="AN383" i="5" s="1"/>
  <c r="AO383" i="5" s="1"/>
  <c r="AG382" i="5"/>
  <c r="AH382" i="5" s="1"/>
  <c r="S382" i="5"/>
  <c r="R382" i="5"/>
  <c r="Q382" i="5"/>
  <c r="P382" i="5"/>
  <c r="O382" i="5"/>
  <c r="N382" i="5"/>
  <c r="AF369" i="5"/>
  <c r="AE369" i="5"/>
  <c r="AD369" i="5"/>
  <c r="AC369" i="5"/>
  <c r="AB369" i="5"/>
  <c r="AA369" i="5"/>
  <c r="Z369" i="5"/>
  <c r="Y369" i="5"/>
  <c r="X369" i="5"/>
  <c r="W369" i="5"/>
  <c r="V369" i="5"/>
  <c r="U369" i="5"/>
  <c r="S369" i="5"/>
  <c r="S370" i="5" s="1"/>
  <c r="R369" i="5"/>
  <c r="R370" i="5" s="1"/>
  <c r="Q369" i="5"/>
  <c r="Q370" i="5" s="1"/>
  <c r="P369" i="5"/>
  <c r="P370" i="5" s="1"/>
  <c r="O369" i="5"/>
  <c r="O370" i="5" s="1"/>
  <c r="N369" i="5"/>
  <c r="N370" i="5" s="1"/>
  <c r="U368" i="5"/>
  <c r="V368" i="5" s="1"/>
  <c r="V370" i="5" s="1"/>
  <c r="T368" i="5"/>
  <c r="AF363" i="5"/>
  <c r="AE363" i="5"/>
  <c r="AD363" i="5"/>
  <c r="AC363" i="5"/>
  <c r="AB363" i="5"/>
  <c r="AA363" i="5"/>
  <c r="Z363" i="5"/>
  <c r="Y363" i="5"/>
  <c r="X363" i="5"/>
  <c r="W363" i="5"/>
  <c r="V363" i="5"/>
  <c r="U363" i="5"/>
  <c r="S363" i="5"/>
  <c r="S364" i="5"/>
  <c r="R363" i="5"/>
  <c r="R364" i="5" s="1"/>
  <c r="Q363" i="5"/>
  <c r="Q364" i="5"/>
  <c r="P363" i="5"/>
  <c r="P364" i="5" s="1"/>
  <c r="O363" i="5"/>
  <c r="O364" i="5"/>
  <c r="N363" i="5"/>
  <c r="N364" i="5" s="1"/>
  <c r="U362" i="5"/>
  <c r="U364" i="5"/>
  <c r="T362" i="5"/>
  <c r="V357" i="5"/>
  <c r="W357" i="5" s="1"/>
  <c r="X357" i="5" s="1"/>
  <c r="Y357" i="5" s="1"/>
  <c r="Z357" i="5" s="1"/>
  <c r="AA357" i="5" s="1"/>
  <c r="AI356" i="5"/>
  <c r="AJ356" i="5" s="1"/>
  <c r="AK356" i="5" s="1"/>
  <c r="AL356" i="5" s="1"/>
  <c r="AM356" i="5" s="1"/>
  <c r="AN356" i="5" s="1"/>
  <c r="AO356" i="5" s="1"/>
  <c r="AG355" i="5"/>
  <c r="S355" i="5"/>
  <c r="R355" i="5"/>
  <c r="Q355" i="5"/>
  <c r="P355" i="5"/>
  <c r="O355" i="5"/>
  <c r="N355" i="5"/>
  <c r="AF342" i="5"/>
  <c r="AE342" i="5"/>
  <c r="AD342" i="5"/>
  <c r="AC342" i="5"/>
  <c r="AB342" i="5"/>
  <c r="AA342" i="5"/>
  <c r="Z342" i="5"/>
  <c r="Y342" i="5"/>
  <c r="X342" i="5"/>
  <c r="W342" i="5"/>
  <c r="V342" i="5"/>
  <c r="U342" i="5"/>
  <c r="S342" i="5"/>
  <c r="S343" i="5" s="1"/>
  <c r="R342" i="5"/>
  <c r="R343" i="5"/>
  <c r="Q342" i="5"/>
  <c r="Q343" i="5" s="1"/>
  <c r="P342" i="5"/>
  <c r="P343" i="5"/>
  <c r="O342" i="5"/>
  <c r="O343" i="5" s="1"/>
  <c r="N342" i="5"/>
  <c r="N343" i="5"/>
  <c r="U341" i="5"/>
  <c r="T341" i="5"/>
  <c r="AF336" i="5"/>
  <c r="AE336" i="5"/>
  <c r="AD336" i="5"/>
  <c r="AC336" i="5"/>
  <c r="AB336" i="5"/>
  <c r="AA336" i="5"/>
  <c r="Z336" i="5"/>
  <c r="Y336" i="5"/>
  <c r="X336" i="5"/>
  <c r="W336" i="5"/>
  <c r="V336" i="5"/>
  <c r="U336" i="5"/>
  <c r="S336" i="5"/>
  <c r="S337" i="5"/>
  <c r="R336" i="5"/>
  <c r="R337" i="5" s="1"/>
  <c r="Q336" i="5"/>
  <c r="Q337" i="5"/>
  <c r="P336" i="5"/>
  <c r="P337" i="5" s="1"/>
  <c r="O336" i="5"/>
  <c r="O337" i="5"/>
  <c r="N336" i="5"/>
  <c r="N337" i="5" s="1"/>
  <c r="U335" i="5"/>
  <c r="V335" i="5"/>
  <c r="T335" i="5"/>
  <c r="V330" i="5"/>
  <c r="W330" i="5" s="1"/>
  <c r="X330" i="5" s="1"/>
  <c r="Y330" i="5" s="1"/>
  <c r="AI329" i="5"/>
  <c r="AJ329" i="5" s="1"/>
  <c r="AK329" i="5" s="1"/>
  <c r="AL329" i="5" s="1"/>
  <c r="AM329" i="5" s="1"/>
  <c r="AN329" i="5" s="1"/>
  <c r="AO329" i="5" s="1"/>
  <c r="AG328" i="5"/>
  <c r="S328" i="5"/>
  <c r="R328" i="5"/>
  <c r="Q328" i="5"/>
  <c r="P328" i="5"/>
  <c r="O328" i="5"/>
  <c r="N328" i="5"/>
  <c r="AF315" i="5"/>
  <c r="AE315" i="5"/>
  <c r="AD315" i="5"/>
  <c r="AC315" i="5"/>
  <c r="AB315" i="5"/>
  <c r="AA315" i="5"/>
  <c r="Z315" i="5"/>
  <c r="Y315" i="5"/>
  <c r="X315" i="5"/>
  <c r="W315" i="5"/>
  <c r="V315" i="5"/>
  <c r="U315" i="5"/>
  <c r="S315" i="5"/>
  <c r="S316" i="5" s="1"/>
  <c r="R315" i="5"/>
  <c r="R316" i="5" s="1"/>
  <c r="Q315" i="5"/>
  <c r="Q316" i="5" s="1"/>
  <c r="P315" i="5"/>
  <c r="P316" i="5" s="1"/>
  <c r="O315" i="5"/>
  <c r="O316" i="5" s="1"/>
  <c r="N315" i="5"/>
  <c r="N316" i="5" s="1"/>
  <c r="U314" i="5"/>
  <c r="V314" i="5" s="1"/>
  <c r="W314" i="5" s="1"/>
  <c r="T314" i="5"/>
  <c r="N311" i="5"/>
  <c r="AF309" i="5"/>
  <c r="AE309" i="5"/>
  <c r="AD309" i="5"/>
  <c r="AC309" i="5"/>
  <c r="AB309" i="5"/>
  <c r="AA309" i="5"/>
  <c r="Z309" i="5"/>
  <c r="Y309" i="5"/>
  <c r="X309" i="5"/>
  <c r="W309" i="5"/>
  <c r="V309" i="5"/>
  <c r="U309" i="5"/>
  <c r="S309" i="5"/>
  <c r="S310" i="5" s="1"/>
  <c r="R309" i="5"/>
  <c r="R310" i="5" s="1"/>
  <c r="Q309" i="5"/>
  <c r="Q310" i="5" s="1"/>
  <c r="P309" i="5"/>
  <c r="P310" i="5" s="1"/>
  <c r="O309" i="5"/>
  <c r="O310" i="5" s="1"/>
  <c r="N309" i="5"/>
  <c r="N310" i="5" s="1"/>
  <c r="U308" i="5"/>
  <c r="T308" i="5"/>
  <c r="V303" i="5"/>
  <c r="W303" i="5" s="1"/>
  <c r="AI302" i="5"/>
  <c r="AJ302" i="5" s="1"/>
  <c r="AK302" i="5" s="1"/>
  <c r="AL302" i="5" s="1"/>
  <c r="AM302" i="5" s="1"/>
  <c r="AN302" i="5" s="1"/>
  <c r="AO302" i="5" s="1"/>
  <c r="AG301" i="5"/>
  <c r="AH301" i="5" s="1"/>
  <c r="S301" i="5"/>
  <c r="R301" i="5"/>
  <c r="Q301" i="5"/>
  <c r="P301" i="5"/>
  <c r="O301" i="5"/>
  <c r="N301" i="5"/>
  <c r="AF288" i="5"/>
  <c r="AE288" i="5"/>
  <c r="AD288" i="5"/>
  <c r="AC288" i="5"/>
  <c r="AB288" i="5"/>
  <c r="AA288" i="5"/>
  <c r="Z288" i="5"/>
  <c r="Y288" i="5"/>
  <c r="X288" i="5"/>
  <c r="W288" i="5"/>
  <c r="V288" i="5"/>
  <c r="U288" i="5"/>
  <c r="S288" i="5"/>
  <c r="S289" i="5" s="1"/>
  <c r="R288" i="5"/>
  <c r="R289" i="5" s="1"/>
  <c r="Q288" i="5"/>
  <c r="Q289" i="5" s="1"/>
  <c r="P288" i="5"/>
  <c r="P289" i="5" s="1"/>
  <c r="O288" i="5"/>
  <c r="O289" i="5" s="1"/>
  <c r="N288" i="5"/>
  <c r="N289" i="5" s="1"/>
  <c r="U287" i="5"/>
  <c r="T287" i="5"/>
  <c r="AF282" i="5"/>
  <c r="AE282" i="5"/>
  <c r="AD282" i="5"/>
  <c r="AC282" i="5"/>
  <c r="AB282" i="5"/>
  <c r="AA282" i="5"/>
  <c r="Z282" i="5"/>
  <c r="Y282" i="5"/>
  <c r="X282" i="5"/>
  <c r="W282" i="5"/>
  <c r="V282" i="5"/>
  <c r="U282" i="5"/>
  <c r="S282" i="5"/>
  <c r="S283" i="5" s="1"/>
  <c r="R282" i="5"/>
  <c r="R283" i="5"/>
  <c r="Q282" i="5"/>
  <c r="Q283" i="5" s="1"/>
  <c r="P282" i="5"/>
  <c r="P283" i="5"/>
  <c r="O282" i="5"/>
  <c r="O283" i="5" s="1"/>
  <c r="N282" i="5"/>
  <c r="N283" i="5"/>
  <c r="U281" i="5"/>
  <c r="V281" i="5" s="1"/>
  <c r="T281" i="5"/>
  <c r="V276" i="5"/>
  <c r="W276" i="5" s="1"/>
  <c r="X276" i="5" s="1"/>
  <c r="AM275" i="5"/>
  <c r="AN275" i="5" s="1"/>
  <c r="AO275" i="5" s="1"/>
  <c r="AG274" i="5"/>
  <c r="AH274" i="5" s="1"/>
  <c r="S274" i="5"/>
  <c r="R274" i="5"/>
  <c r="Q274" i="5"/>
  <c r="P274" i="5"/>
  <c r="O274" i="5"/>
  <c r="N274" i="5"/>
  <c r="AF261" i="5"/>
  <c r="AE261" i="5"/>
  <c r="AD261" i="5"/>
  <c r="AC261" i="5"/>
  <c r="AB261" i="5"/>
  <c r="AA261" i="5"/>
  <c r="Z261" i="5"/>
  <c r="Y261" i="5"/>
  <c r="X261" i="5"/>
  <c r="W261" i="5"/>
  <c r="V261" i="5"/>
  <c r="U261" i="5"/>
  <c r="S261" i="5"/>
  <c r="S262" i="5" s="1"/>
  <c r="R261" i="5"/>
  <c r="R262" i="5" s="1"/>
  <c r="Q261" i="5"/>
  <c r="Q262" i="5" s="1"/>
  <c r="P261" i="5"/>
  <c r="P262" i="5" s="1"/>
  <c r="O261" i="5"/>
  <c r="O262" i="5" s="1"/>
  <c r="N261" i="5"/>
  <c r="N262" i="5" s="1"/>
  <c r="U260" i="5"/>
  <c r="T260" i="5"/>
  <c r="AF255" i="5"/>
  <c r="AE255" i="5"/>
  <c r="AD255" i="5"/>
  <c r="AC255" i="5"/>
  <c r="AB255" i="5"/>
  <c r="AA255" i="5"/>
  <c r="Z255" i="5"/>
  <c r="Y255" i="5"/>
  <c r="X255" i="5"/>
  <c r="W255" i="5"/>
  <c r="V255" i="5"/>
  <c r="U255" i="5"/>
  <c r="S255" i="5"/>
  <c r="S256" i="5" s="1"/>
  <c r="R255" i="5"/>
  <c r="R256" i="5" s="1"/>
  <c r="Q255" i="5"/>
  <c r="Q256" i="5" s="1"/>
  <c r="P255" i="5"/>
  <c r="P256" i="5" s="1"/>
  <c r="O255" i="5"/>
  <c r="O256" i="5" s="1"/>
  <c r="N255" i="5"/>
  <c r="N256" i="5" s="1"/>
  <c r="U254" i="5"/>
  <c r="T254" i="5"/>
  <c r="V249" i="5"/>
  <c r="W249" i="5" s="1"/>
  <c r="X249" i="5" s="1"/>
  <c r="AI248" i="5"/>
  <c r="AJ248" i="5" s="1"/>
  <c r="AG247" i="5"/>
  <c r="AH247" i="5" s="1"/>
  <c r="AC247" i="5"/>
  <c r="S247" i="5"/>
  <c r="R247" i="5"/>
  <c r="Q247" i="5"/>
  <c r="P247" i="5"/>
  <c r="O247" i="5"/>
  <c r="N247" i="5"/>
  <c r="AF234" i="5"/>
  <c r="AE234" i="5"/>
  <c r="AD234" i="5"/>
  <c r="AC234" i="5"/>
  <c r="AB234" i="5"/>
  <c r="AA234" i="5"/>
  <c r="Z234" i="5"/>
  <c r="Y234" i="5"/>
  <c r="X234" i="5"/>
  <c r="W234" i="5"/>
  <c r="V234" i="5"/>
  <c r="U234" i="5"/>
  <c r="S234" i="5"/>
  <c r="S235" i="5"/>
  <c r="R234" i="5"/>
  <c r="R235" i="5" s="1"/>
  <c r="Q234" i="5"/>
  <c r="Q235" i="5"/>
  <c r="P234" i="5"/>
  <c r="P235" i="5" s="1"/>
  <c r="O234" i="5"/>
  <c r="O235" i="5"/>
  <c r="N234" i="5"/>
  <c r="N235" i="5" s="1"/>
  <c r="U233" i="5"/>
  <c r="T233" i="5"/>
  <c r="AF228" i="5"/>
  <c r="AE228" i="5"/>
  <c r="AD228" i="5"/>
  <c r="AC228" i="5"/>
  <c r="AB228" i="5"/>
  <c r="AA228" i="5"/>
  <c r="Z228" i="5"/>
  <c r="Y228" i="5"/>
  <c r="X228" i="5"/>
  <c r="W228" i="5"/>
  <c r="V228" i="5"/>
  <c r="U228" i="5"/>
  <c r="S228" i="5"/>
  <c r="S229" i="5" s="1"/>
  <c r="R228" i="5"/>
  <c r="R229" i="5" s="1"/>
  <c r="Q228" i="5"/>
  <c r="Q229" i="5" s="1"/>
  <c r="P228" i="5"/>
  <c r="P229" i="5" s="1"/>
  <c r="O228" i="5"/>
  <c r="O229" i="5" s="1"/>
  <c r="N228" i="5"/>
  <c r="N229" i="5" s="1"/>
  <c r="U227" i="5"/>
  <c r="V227" i="5" s="1"/>
  <c r="T227" i="5"/>
  <c r="AI221" i="5"/>
  <c r="AJ221" i="5" s="1"/>
  <c r="AK221" i="5" s="1"/>
  <c r="AL221" i="5" s="1"/>
  <c r="AM221" i="5" s="1"/>
  <c r="AN221" i="5" s="1"/>
  <c r="AO221" i="5" s="1"/>
  <c r="AG220" i="5"/>
  <c r="AH220" i="5" s="1"/>
  <c r="S220" i="5"/>
  <c r="R220" i="5"/>
  <c r="Q220" i="5"/>
  <c r="P220" i="5"/>
  <c r="O220" i="5"/>
  <c r="N220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S207" i="5"/>
  <c r="S208" i="5" s="1"/>
  <c r="R207" i="5"/>
  <c r="R208" i="5" s="1"/>
  <c r="Q207" i="5"/>
  <c r="Q208" i="5" s="1"/>
  <c r="P207" i="5"/>
  <c r="P208" i="5" s="1"/>
  <c r="O207" i="5"/>
  <c r="O208" i="5" s="1"/>
  <c r="N207" i="5"/>
  <c r="N208" i="5" s="1"/>
  <c r="U206" i="5"/>
  <c r="T206" i="5"/>
  <c r="AF201" i="5"/>
  <c r="AE201" i="5"/>
  <c r="AD201" i="5"/>
  <c r="AC201" i="5"/>
  <c r="AB201" i="5"/>
  <c r="AA201" i="5"/>
  <c r="Z201" i="5"/>
  <c r="Y201" i="5"/>
  <c r="X201" i="5"/>
  <c r="W201" i="5"/>
  <c r="V201" i="5"/>
  <c r="U201" i="5"/>
  <c r="S201" i="5"/>
  <c r="S202" i="5" s="1"/>
  <c r="R201" i="5"/>
  <c r="R202" i="5" s="1"/>
  <c r="Q201" i="5"/>
  <c r="Q202" i="5" s="1"/>
  <c r="P201" i="5"/>
  <c r="P202" i="5" s="1"/>
  <c r="O201" i="5"/>
  <c r="O202" i="5" s="1"/>
  <c r="N201" i="5"/>
  <c r="N202" i="5" s="1"/>
  <c r="U200" i="5"/>
  <c r="V200" i="5" s="1"/>
  <c r="T200" i="5"/>
  <c r="AI194" i="5"/>
  <c r="AJ194" i="5" s="1"/>
  <c r="AK194" i="5" s="1"/>
  <c r="AL194" i="5" s="1"/>
  <c r="AM194" i="5" s="1"/>
  <c r="AN194" i="5" s="1"/>
  <c r="AO194" i="5" s="1"/>
  <c r="AG193" i="5"/>
  <c r="AH193" i="5" s="1"/>
  <c r="S193" i="5"/>
  <c r="R193" i="5"/>
  <c r="Q193" i="5"/>
  <c r="P193" i="5"/>
  <c r="O193" i="5"/>
  <c r="N193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S180" i="5"/>
  <c r="S181" i="5" s="1"/>
  <c r="R180" i="5"/>
  <c r="R181" i="5"/>
  <c r="Q180" i="5"/>
  <c r="Q181" i="5" s="1"/>
  <c r="P180" i="5"/>
  <c r="P181" i="5"/>
  <c r="O180" i="5"/>
  <c r="O181" i="5" s="1"/>
  <c r="N180" i="5"/>
  <c r="N181" i="5"/>
  <c r="U179" i="5"/>
  <c r="V179" i="5" s="1"/>
  <c r="T179" i="5"/>
  <c r="AF174" i="5"/>
  <c r="AE174" i="5"/>
  <c r="AD174" i="5"/>
  <c r="AC174" i="5"/>
  <c r="AB174" i="5"/>
  <c r="AA174" i="5"/>
  <c r="Z174" i="5"/>
  <c r="Y174" i="5"/>
  <c r="X174" i="5"/>
  <c r="W174" i="5"/>
  <c r="V174" i="5"/>
  <c r="U174" i="5"/>
  <c r="S174" i="5"/>
  <c r="S175" i="5" s="1"/>
  <c r="R174" i="5"/>
  <c r="R175" i="5" s="1"/>
  <c r="Q174" i="5"/>
  <c r="Q175" i="5" s="1"/>
  <c r="P174" i="5"/>
  <c r="P175" i="5" s="1"/>
  <c r="O174" i="5"/>
  <c r="O175" i="5" s="1"/>
  <c r="N174" i="5"/>
  <c r="N175" i="5" s="1"/>
  <c r="U173" i="5"/>
  <c r="T173" i="5"/>
  <c r="V168" i="5"/>
  <c r="V195" i="5" s="1"/>
  <c r="AI167" i="5"/>
  <c r="AJ167" i="5" s="1"/>
  <c r="AG166" i="5"/>
  <c r="AH166" i="5" s="1"/>
  <c r="S166" i="5"/>
  <c r="R166" i="5"/>
  <c r="Q166" i="5"/>
  <c r="P166" i="5"/>
  <c r="O166" i="5"/>
  <c r="N166" i="5"/>
  <c r="AF460" i="5"/>
  <c r="AE460" i="5"/>
  <c r="AD460" i="5"/>
  <c r="AC460" i="5"/>
  <c r="AB460" i="5"/>
  <c r="AA460" i="5"/>
  <c r="Z460" i="5"/>
  <c r="Y460" i="5"/>
  <c r="X460" i="5"/>
  <c r="W460" i="5"/>
  <c r="V460" i="5"/>
  <c r="U460" i="5"/>
  <c r="AI140" i="5"/>
  <c r="AJ140" i="5" s="1"/>
  <c r="AK140" i="5" s="1"/>
  <c r="AL140" i="5" s="1"/>
  <c r="AM140" i="5" s="1"/>
  <c r="AN140" i="5" s="1"/>
  <c r="AO140" i="5" s="1"/>
  <c r="AG139" i="5"/>
  <c r="AH139" i="5" s="1"/>
  <c r="S139" i="5"/>
  <c r="R139" i="5"/>
  <c r="Q139" i="5"/>
  <c r="P139" i="5"/>
  <c r="O139" i="5"/>
  <c r="N139" i="5"/>
  <c r="AI113" i="5"/>
  <c r="AJ113" i="5" s="1"/>
  <c r="AG112" i="5"/>
  <c r="AH112" i="5" s="1"/>
  <c r="S112" i="5"/>
  <c r="R112" i="5"/>
  <c r="Q112" i="5"/>
  <c r="P112" i="5"/>
  <c r="O112" i="5"/>
  <c r="N112" i="5"/>
  <c r="AG85" i="5"/>
  <c r="S85" i="5"/>
  <c r="R85" i="5"/>
  <c r="Q85" i="5"/>
  <c r="P85" i="5"/>
  <c r="O85" i="5"/>
  <c r="N85" i="5"/>
  <c r="T72" i="5"/>
  <c r="T12" i="5"/>
  <c r="T66" i="5"/>
  <c r="S4" i="5"/>
  <c r="R4" i="5"/>
  <c r="Q4" i="5"/>
  <c r="P4" i="5"/>
  <c r="O4" i="5"/>
  <c r="N4" i="5"/>
  <c r="N7" i="5" s="1"/>
  <c r="T18" i="5"/>
  <c r="AI86" i="5"/>
  <c r="AJ86" i="5" s="1"/>
  <c r="AK86" i="5" s="1"/>
  <c r="AL86" i="5" s="1"/>
  <c r="AM86" i="5" s="1"/>
  <c r="AN86" i="5" s="1"/>
  <c r="AO86" i="5" s="1"/>
  <c r="AI5" i="5"/>
  <c r="AJ5" i="5"/>
  <c r="AK5" i="5" s="1"/>
  <c r="AL5" i="5" s="1"/>
  <c r="AM5" i="5" s="1"/>
  <c r="AN5" i="5" s="1"/>
  <c r="AO5" i="5" s="1"/>
  <c r="AG4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S153" i="5"/>
  <c r="S154" i="5" s="1"/>
  <c r="R153" i="5"/>
  <c r="R154" i="5" s="1"/>
  <c r="Q153" i="5"/>
  <c r="Q154" i="5" s="1"/>
  <c r="P153" i="5"/>
  <c r="P154" i="5" s="1"/>
  <c r="O153" i="5"/>
  <c r="O154" i="5" s="1"/>
  <c r="N153" i="5"/>
  <c r="N154" i="5" s="1"/>
  <c r="U152" i="5"/>
  <c r="T152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S147" i="5"/>
  <c r="S148" i="5" s="1"/>
  <c r="R147" i="5"/>
  <c r="R148" i="5" s="1"/>
  <c r="Q147" i="5"/>
  <c r="Q148" i="5" s="1"/>
  <c r="P147" i="5"/>
  <c r="P148" i="5" s="1"/>
  <c r="O147" i="5"/>
  <c r="O148" i="5" s="1"/>
  <c r="N147" i="5"/>
  <c r="N148" i="5" s="1"/>
  <c r="U146" i="5"/>
  <c r="V146" i="5" s="1"/>
  <c r="T14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S126" i="5"/>
  <c r="S127" i="5" s="1"/>
  <c r="R126" i="5"/>
  <c r="R127" i="5" s="1"/>
  <c r="Q126" i="5"/>
  <c r="Q127" i="5" s="1"/>
  <c r="P126" i="5"/>
  <c r="O126" i="5"/>
  <c r="O127" i="5" s="1"/>
  <c r="N126" i="5"/>
  <c r="N127" i="5" s="1"/>
  <c r="U125" i="5"/>
  <c r="V125" i="5" s="1"/>
  <c r="T125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S120" i="5"/>
  <c r="S121" i="5" s="1"/>
  <c r="R120" i="5"/>
  <c r="R121" i="5" s="1"/>
  <c r="Q120" i="5"/>
  <c r="Q121" i="5" s="1"/>
  <c r="P120" i="5"/>
  <c r="P121" i="5" s="1"/>
  <c r="O120" i="5"/>
  <c r="O121" i="5" s="1"/>
  <c r="N120" i="5"/>
  <c r="U119" i="5"/>
  <c r="U121" i="5" s="1"/>
  <c r="T119" i="5"/>
  <c r="U98" i="5"/>
  <c r="V98" i="5" s="1"/>
  <c r="U92" i="5"/>
  <c r="V92" i="5"/>
  <c r="AF99" i="5"/>
  <c r="AE99" i="5"/>
  <c r="AD99" i="5"/>
  <c r="AC99" i="5"/>
  <c r="AB99" i="5"/>
  <c r="AA99" i="5"/>
  <c r="Z99" i="5"/>
  <c r="Y99" i="5"/>
  <c r="X99" i="5"/>
  <c r="W99" i="5"/>
  <c r="V99" i="5"/>
  <c r="U99" i="5"/>
  <c r="S99" i="5"/>
  <c r="S100" i="5" s="1"/>
  <c r="R99" i="5"/>
  <c r="R100" i="5"/>
  <c r="Q99" i="5"/>
  <c r="Q100" i="5" s="1"/>
  <c r="P99" i="5"/>
  <c r="P100" i="5"/>
  <c r="O99" i="5"/>
  <c r="O100" i="5" s="1"/>
  <c r="N99" i="5"/>
  <c r="N100" i="5"/>
  <c r="T98" i="5"/>
  <c r="AF93" i="5"/>
  <c r="AE93" i="5"/>
  <c r="AD93" i="5"/>
  <c r="AC93" i="5"/>
  <c r="AB93" i="5"/>
  <c r="AA93" i="5"/>
  <c r="Z93" i="5"/>
  <c r="Y93" i="5"/>
  <c r="X93" i="5"/>
  <c r="W93" i="5"/>
  <c r="V93" i="5"/>
  <c r="U93" i="5"/>
  <c r="S93" i="5"/>
  <c r="S94" i="5" s="1"/>
  <c r="R93" i="5"/>
  <c r="R94" i="5" s="1"/>
  <c r="Q93" i="5"/>
  <c r="Q94" i="5" s="1"/>
  <c r="P93" i="5"/>
  <c r="P94" i="5" s="1"/>
  <c r="O93" i="5"/>
  <c r="O94" i="5" s="1"/>
  <c r="N93" i="5"/>
  <c r="N94" i="5" s="1"/>
  <c r="T92" i="5"/>
  <c r="V152" i="5"/>
  <c r="V154" i="5" s="1"/>
  <c r="B28" i="16"/>
  <c r="AG7" i="7"/>
  <c r="T7" i="7"/>
  <c r="I26" i="16"/>
  <c r="J26" i="16" s="1"/>
  <c r="K26" i="16" s="1"/>
  <c r="L26" i="16" s="1"/>
  <c r="AG22" i="11"/>
  <c r="T22" i="11"/>
  <c r="AG21" i="11"/>
  <c r="T21" i="11"/>
  <c r="AG23" i="11"/>
  <c r="T23" i="11"/>
  <c r="AG20" i="11"/>
  <c r="T20" i="11"/>
  <c r="T19" i="11"/>
  <c r="B21" i="16"/>
  <c r="B9" i="16"/>
  <c r="B14" i="16" s="1"/>
  <c r="AO454" i="5"/>
  <c r="AO435" i="5" s="1"/>
  <c r="AN454" i="5"/>
  <c r="AN435" i="5" s="1"/>
  <c r="AM454" i="5"/>
  <c r="AM435" i="5" s="1"/>
  <c r="AL454" i="5"/>
  <c r="AL435" i="5" s="1"/>
  <c r="AK454" i="5"/>
  <c r="AK435" i="5" s="1"/>
  <c r="AJ454" i="5"/>
  <c r="AJ435" i="5" s="1"/>
  <c r="AI454" i="5"/>
  <c r="AI435" i="5" s="1"/>
  <c r="AG454" i="5"/>
  <c r="AG435" i="5" s="1"/>
  <c r="I454" i="5"/>
  <c r="I435" i="5" s="1"/>
  <c r="H454" i="5"/>
  <c r="H435" i="5" s="1"/>
  <c r="AO73" i="5"/>
  <c r="AN73" i="5"/>
  <c r="AM73" i="5"/>
  <c r="AL73" i="5"/>
  <c r="AK73" i="5"/>
  <c r="AO67" i="5"/>
  <c r="AN67" i="5"/>
  <c r="AM67" i="5"/>
  <c r="AL67" i="5"/>
  <c r="AK67" i="5"/>
  <c r="R87" i="5"/>
  <c r="Q87" i="5"/>
  <c r="P87" i="5"/>
  <c r="O87" i="5"/>
  <c r="AO19" i="5"/>
  <c r="AN19" i="5"/>
  <c r="AM19" i="5"/>
  <c r="AL19" i="5"/>
  <c r="AK19" i="5"/>
  <c r="AK13" i="5"/>
  <c r="AL13" i="5"/>
  <c r="AM13" i="5"/>
  <c r="AN13" i="5"/>
  <c r="AO13" i="5"/>
  <c r="AJ73" i="5"/>
  <c r="AI73" i="5"/>
  <c r="AF72" i="5"/>
  <c r="AE72" i="5"/>
  <c r="AD72" i="5"/>
  <c r="AC72" i="5"/>
  <c r="AB72" i="5"/>
  <c r="AA72" i="5"/>
  <c r="Z72" i="5"/>
  <c r="Y72" i="5"/>
  <c r="X72" i="5"/>
  <c r="W72" i="5"/>
  <c r="V72" i="5"/>
  <c r="U72" i="5"/>
  <c r="S73" i="5"/>
  <c r="R73" i="5"/>
  <c r="Q73" i="5"/>
  <c r="P73" i="5"/>
  <c r="O73" i="5"/>
  <c r="N73" i="5"/>
  <c r="AJ67" i="5"/>
  <c r="AI67" i="5"/>
  <c r="S67" i="5"/>
  <c r="O67" i="5"/>
  <c r="N67" i="5"/>
  <c r="AJ19" i="5"/>
  <c r="AI19" i="5"/>
  <c r="AF18" i="5"/>
  <c r="AE18" i="5"/>
  <c r="AD18" i="5"/>
  <c r="AC18" i="5"/>
  <c r="AB18" i="5"/>
  <c r="AA18" i="5"/>
  <c r="Z18" i="5"/>
  <c r="Y18" i="5"/>
  <c r="X18" i="5"/>
  <c r="W18" i="5"/>
  <c r="S19" i="5"/>
  <c r="R19" i="5"/>
  <c r="Q19" i="5"/>
  <c r="P19" i="5"/>
  <c r="O19" i="5"/>
  <c r="T17" i="5"/>
  <c r="T44" i="5" s="1"/>
  <c r="AF12" i="5"/>
  <c r="AE12" i="5"/>
  <c r="AD12" i="5"/>
  <c r="AC12" i="5"/>
  <c r="AB12" i="5"/>
  <c r="AA12" i="5"/>
  <c r="Z12" i="5"/>
  <c r="Y12" i="5"/>
  <c r="X12" i="5"/>
  <c r="W12" i="5"/>
  <c r="AJ13" i="5"/>
  <c r="AI13" i="5"/>
  <c r="T6" i="5"/>
  <c r="A43" i="28"/>
  <c r="A42" i="28"/>
  <c r="A41" i="28"/>
  <c r="A40" i="28"/>
  <c r="A39" i="28"/>
  <c r="P37" i="28"/>
  <c r="C37" i="28"/>
  <c r="C42" i="28" s="1"/>
  <c r="A37" i="28"/>
  <c r="P36" i="28"/>
  <c r="C36" i="28"/>
  <c r="A36" i="28"/>
  <c r="P35" i="28"/>
  <c r="C35" i="28"/>
  <c r="C40" i="28" s="1"/>
  <c r="A35" i="28"/>
  <c r="A32" i="28"/>
  <c r="C31" i="28"/>
  <c r="CP31" i="28" s="1"/>
  <c r="A31" i="28"/>
  <c r="C30" i="28"/>
  <c r="CP30" i="28"/>
  <c r="A30" i="28"/>
  <c r="C29" i="28"/>
  <c r="A29" i="28"/>
  <c r="A28" i="28"/>
  <c r="D26" i="28"/>
  <c r="E26" i="28" s="1"/>
  <c r="A26" i="28"/>
  <c r="D25" i="28"/>
  <c r="D36" i="28"/>
  <c r="A25" i="28"/>
  <c r="D24" i="28"/>
  <c r="D35" i="28" s="1"/>
  <c r="A24" i="28"/>
  <c r="AG21" i="28"/>
  <c r="AF21" i="28"/>
  <c r="AE21" i="28"/>
  <c r="AD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A21" i="28"/>
  <c r="DF20" i="28"/>
  <c r="DY20" i="28" s="1"/>
  <c r="DE20" i="28"/>
  <c r="DD20" i="28"/>
  <c r="DW20" i="28" s="1"/>
  <c r="DA20" i="28"/>
  <c r="CZ20" i="28"/>
  <c r="DS20" i="28" s="1"/>
  <c r="CY20" i="28"/>
  <c r="CX20" i="28"/>
  <c r="DQ20" i="28" s="1"/>
  <c r="CW20" i="28"/>
  <c r="CV20" i="28"/>
  <c r="DO20" i="28" s="1"/>
  <c r="CU20" i="28"/>
  <c r="CT20" i="28"/>
  <c r="DM20" i="28" s="1"/>
  <c r="CS20" i="28"/>
  <c r="CR20" i="28"/>
  <c r="DK20" i="28" s="1"/>
  <c r="CQ20" i="28"/>
  <c r="CP20" i="28"/>
  <c r="DI20" i="28" s="1"/>
  <c r="AC20" i="28"/>
  <c r="O20" i="28"/>
  <c r="O21" i="28" s="1"/>
  <c r="DF19" i="28"/>
  <c r="DY19" i="28" s="1"/>
  <c r="DE19" i="28"/>
  <c r="DD19" i="28"/>
  <c r="DW19" i="28" s="1"/>
  <c r="DA19" i="28"/>
  <c r="CZ19" i="28"/>
  <c r="DS19" i="28" s="1"/>
  <c r="CY19" i="28"/>
  <c r="CX19" i="28"/>
  <c r="DQ19" i="28" s="1"/>
  <c r="CW19" i="28"/>
  <c r="CV19" i="28"/>
  <c r="DO19" i="28" s="1"/>
  <c r="CU19" i="28"/>
  <c r="CT19" i="28"/>
  <c r="DM19" i="28" s="1"/>
  <c r="CS19" i="28"/>
  <c r="CR19" i="28"/>
  <c r="DK19" i="28" s="1"/>
  <c r="CQ19" i="28"/>
  <c r="CP19" i="28"/>
  <c r="DI19" i="28" s="1"/>
  <c r="AC19" i="28"/>
  <c r="O19" i="28"/>
  <c r="DF18" i="28"/>
  <c r="DY18" i="28" s="1"/>
  <c r="DE18" i="28"/>
  <c r="DD18" i="28"/>
  <c r="DW18" i="28" s="1"/>
  <c r="DW21" i="28" s="1"/>
  <c r="DA18" i="28"/>
  <c r="CZ18" i="28"/>
  <c r="DS18" i="28" s="1"/>
  <c r="CY18" i="28"/>
  <c r="CX18" i="28"/>
  <c r="DQ18" i="28" s="1"/>
  <c r="DQ21" i="28" s="1"/>
  <c r="CW18" i="28"/>
  <c r="CV18" i="28"/>
  <c r="DO18" i="28" s="1"/>
  <c r="CU18" i="28"/>
  <c r="CT18" i="28"/>
  <c r="DM18" i="28" s="1"/>
  <c r="DM21" i="28" s="1"/>
  <c r="CS18" i="28"/>
  <c r="CR18" i="28"/>
  <c r="DK18" i="28" s="1"/>
  <c r="CQ18" i="28"/>
  <c r="CP18" i="28"/>
  <c r="DI18" i="28" s="1"/>
  <c r="AC18" i="28"/>
  <c r="O18" i="28"/>
  <c r="A17" i="28"/>
  <c r="A15" i="28"/>
  <c r="AG12" i="28"/>
  <c r="AF12" i="28"/>
  <c r="AE12" i="28"/>
  <c r="AD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A12" i="28"/>
  <c r="DF11" i="28"/>
  <c r="DY11" i="28" s="1"/>
  <c r="DE11" i="28"/>
  <c r="DX11" i="28" s="1"/>
  <c r="DD11" i="28"/>
  <c r="DW11" i="28"/>
  <c r="DA11" i="28"/>
  <c r="DT11" i="28" s="1"/>
  <c r="CZ11" i="28"/>
  <c r="DS11" i="28" s="1"/>
  <c r="CY11" i="28"/>
  <c r="DR11" i="28" s="1"/>
  <c r="CX11" i="28"/>
  <c r="DQ11" i="28"/>
  <c r="CW11" i="28"/>
  <c r="DP11" i="28" s="1"/>
  <c r="CV11" i="28"/>
  <c r="DO11" i="28" s="1"/>
  <c r="CU11" i="28"/>
  <c r="DN11" i="28" s="1"/>
  <c r="CT11" i="28"/>
  <c r="DM11" i="28" s="1"/>
  <c r="CS11" i="28"/>
  <c r="DL11" i="28" s="1"/>
  <c r="CR11" i="28"/>
  <c r="DK11" i="28" s="1"/>
  <c r="CQ11" i="28"/>
  <c r="CP11" i="28"/>
  <c r="DI11" i="28" s="1"/>
  <c r="AC11" i="28"/>
  <c r="O11" i="28"/>
  <c r="DF10" i="28"/>
  <c r="DE10" i="28"/>
  <c r="DX10" i="28" s="1"/>
  <c r="DD10" i="28"/>
  <c r="DD12" i="28" s="1"/>
  <c r="DA10" i="28"/>
  <c r="DT10" i="28" s="1"/>
  <c r="CZ10" i="28"/>
  <c r="CZ12" i="28" s="1"/>
  <c r="CY10" i="28"/>
  <c r="DR10" i="28" s="1"/>
  <c r="DR12" i="28" s="1"/>
  <c r="CY12" i="28"/>
  <c r="CX10" i="28"/>
  <c r="CX12" i="28" s="1"/>
  <c r="CW10" i="28"/>
  <c r="DP10" i="28" s="1"/>
  <c r="CW12" i="28"/>
  <c r="CV10" i="28"/>
  <c r="CV12" i="28" s="1"/>
  <c r="CU10" i="28"/>
  <c r="DN10" i="28" s="1"/>
  <c r="CU12" i="28"/>
  <c r="CT10" i="28"/>
  <c r="CT12" i="28" s="1"/>
  <c r="CS10" i="28"/>
  <c r="DL10" i="28" s="1"/>
  <c r="DL12" i="28" s="1"/>
  <c r="CS12" i="28"/>
  <c r="CR10" i="28"/>
  <c r="CR12" i="28" s="1"/>
  <c r="CQ10" i="28"/>
  <c r="DJ10" i="28" s="1"/>
  <c r="CP10" i="28"/>
  <c r="CP12" i="28" s="1"/>
  <c r="AC10" i="28"/>
  <c r="O10" i="28"/>
  <c r="A9" i="28"/>
  <c r="AB7" i="28"/>
  <c r="AA7" i="28"/>
  <c r="Z7" i="28"/>
  <c r="Y7" i="28"/>
  <c r="X7" i="28"/>
  <c r="W7" i="28"/>
  <c r="V7" i="28"/>
  <c r="U7" i="28"/>
  <c r="T7" i="28"/>
  <c r="S7" i="28"/>
  <c r="R7" i="28"/>
  <c r="Q7" i="28"/>
  <c r="AC7" i="28" s="1"/>
  <c r="N7" i="28"/>
  <c r="M7" i="28"/>
  <c r="L7" i="28"/>
  <c r="K7" i="28"/>
  <c r="J7" i="28"/>
  <c r="I7" i="28"/>
  <c r="H7" i="28"/>
  <c r="G7" i="28"/>
  <c r="F7" i="28"/>
  <c r="E7" i="28"/>
  <c r="D7" i="28"/>
  <c r="C7" i="28"/>
  <c r="A7" i="28"/>
  <c r="DA6" i="28"/>
  <c r="DT6" i="28" s="1"/>
  <c r="CZ6" i="28"/>
  <c r="DS6" i="28" s="1"/>
  <c r="CY6" i="28"/>
  <c r="DR6" i="28" s="1"/>
  <c r="CX6" i="28"/>
  <c r="DQ6" i="28"/>
  <c r="CW6" i="28"/>
  <c r="DP6" i="28" s="1"/>
  <c r="CV6" i="28"/>
  <c r="DO6" i="28" s="1"/>
  <c r="CU6" i="28"/>
  <c r="DN6" i="28" s="1"/>
  <c r="CT6" i="28"/>
  <c r="DM6" i="28"/>
  <c r="CS6" i="28"/>
  <c r="DL6" i="28" s="1"/>
  <c r="CR6" i="28"/>
  <c r="DK6" i="28" s="1"/>
  <c r="CQ6" i="28"/>
  <c r="DJ6" i="28" s="1"/>
  <c r="CP6" i="28"/>
  <c r="DI6" i="28" s="1"/>
  <c r="AG6" i="28"/>
  <c r="DF6" i="28" s="1"/>
  <c r="DY6" i="28" s="1"/>
  <c r="AF6" i="28"/>
  <c r="DE6" i="28"/>
  <c r="DX6" i="28" s="1"/>
  <c r="AE6" i="28"/>
  <c r="DD6" i="28" s="1"/>
  <c r="DW6" i="28" s="1"/>
  <c r="AD6" i="28"/>
  <c r="AC6" i="28"/>
  <c r="O6" i="28"/>
  <c r="DA5" i="28"/>
  <c r="DT5" i="28" s="1"/>
  <c r="CZ5" i="28"/>
  <c r="DS5" i="28"/>
  <c r="CY5" i="28"/>
  <c r="DR5" i="28" s="1"/>
  <c r="CX5" i="28"/>
  <c r="DQ5" i="28" s="1"/>
  <c r="CW5" i="28"/>
  <c r="DP5" i="28" s="1"/>
  <c r="CV5" i="28"/>
  <c r="DO5" i="28"/>
  <c r="CU5" i="28"/>
  <c r="DN5" i="28" s="1"/>
  <c r="CT5" i="28"/>
  <c r="DM5" i="28" s="1"/>
  <c r="CS5" i="28"/>
  <c r="DL5" i="28" s="1"/>
  <c r="CR5" i="28"/>
  <c r="DK5" i="28" s="1"/>
  <c r="CQ5" i="28"/>
  <c r="DJ5" i="28" s="1"/>
  <c r="CP5" i="28"/>
  <c r="DI5" i="28" s="1"/>
  <c r="AG5" i="28"/>
  <c r="DF5" i="28" s="1"/>
  <c r="DY5" i="28" s="1"/>
  <c r="AF5" i="28"/>
  <c r="DE5" i="28" s="1"/>
  <c r="AE5" i="28"/>
  <c r="DD5" i="28" s="1"/>
  <c r="DW5" i="28" s="1"/>
  <c r="AD5" i="28"/>
  <c r="AC5" i="28"/>
  <c r="O5" i="28"/>
  <c r="DA4" i="28"/>
  <c r="DT4" i="28" s="1"/>
  <c r="CZ4" i="28"/>
  <c r="CZ7" i="28" s="1"/>
  <c r="CY4" i="28"/>
  <c r="DR4" i="28" s="1"/>
  <c r="CX4" i="28"/>
  <c r="CX7" i="28" s="1"/>
  <c r="CW4" i="28"/>
  <c r="DP4" i="28" s="1"/>
  <c r="CV4" i="28"/>
  <c r="CV7" i="28" s="1"/>
  <c r="CU4" i="28"/>
  <c r="DN4" i="28" s="1"/>
  <c r="CT4" i="28"/>
  <c r="CT7" i="28" s="1"/>
  <c r="CS4" i="28"/>
  <c r="DL4" i="28" s="1"/>
  <c r="CR4" i="28"/>
  <c r="CR7" i="28" s="1"/>
  <c r="CQ4" i="28"/>
  <c r="DJ4" i="28" s="1"/>
  <c r="CQ7" i="28"/>
  <c r="CP4" i="28"/>
  <c r="CP7" i="28" s="1"/>
  <c r="AG4" i="28"/>
  <c r="DF4" i="28" s="1"/>
  <c r="AF4" i="28"/>
  <c r="AF7" i="28" s="1"/>
  <c r="AE4" i="28"/>
  <c r="DD4" i="28" s="1"/>
  <c r="AD4" i="28"/>
  <c r="AD7" i="28" s="1"/>
  <c r="AC4" i="28"/>
  <c r="O4" i="28"/>
  <c r="A3" i="28"/>
  <c r="A1" i="28"/>
  <c r="O7" i="2"/>
  <c r="O8" i="2"/>
  <c r="O9" i="2"/>
  <c r="O10" i="2"/>
  <c r="O11" i="2"/>
  <c r="B12" i="2"/>
  <c r="B37" i="2" s="1"/>
  <c r="C4" i="2" s="1"/>
  <c r="O4" i="2" s="1"/>
  <c r="C12" i="2"/>
  <c r="C46" i="2" s="1"/>
  <c r="D12" i="2"/>
  <c r="E12" i="2"/>
  <c r="F12" i="2"/>
  <c r="F46" i="2" s="1"/>
  <c r="G12" i="2"/>
  <c r="G46" i="2" s="1"/>
  <c r="H12" i="2"/>
  <c r="I12" i="2"/>
  <c r="J12" i="2"/>
  <c r="J46" i="2" s="1"/>
  <c r="K12" i="2"/>
  <c r="K46" i="2" s="1"/>
  <c r="L12" i="2"/>
  <c r="M12" i="2"/>
  <c r="N12" i="2"/>
  <c r="N46" i="2" s="1"/>
  <c r="P12" i="2"/>
  <c r="P46" i="2" s="1"/>
  <c r="Q12" i="2"/>
  <c r="R12" i="2"/>
  <c r="S12" i="2"/>
  <c r="S46" i="2" s="1"/>
  <c r="O17" i="2"/>
  <c r="O41" i="2" s="1"/>
  <c r="O18" i="2"/>
  <c r="O19" i="2"/>
  <c r="O22" i="2"/>
  <c r="O23" i="2"/>
  <c r="O43" i="2" s="1"/>
  <c r="O24" i="2"/>
  <c r="O25" i="2"/>
  <c r="O26" i="2"/>
  <c r="O29" i="2"/>
  <c r="O30" i="2"/>
  <c r="O31" i="2"/>
  <c r="O32" i="2"/>
  <c r="O33" i="2"/>
  <c r="B34" i="2"/>
  <c r="C34" i="2"/>
  <c r="D34" i="2"/>
  <c r="E34" i="2"/>
  <c r="E46" i="2" s="1"/>
  <c r="F34" i="2"/>
  <c r="G34" i="2"/>
  <c r="H34" i="2"/>
  <c r="I34" i="2"/>
  <c r="I46" i="2" s="1"/>
  <c r="J34" i="2"/>
  <c r="K34" i="2"/>
  <c r="L34" i="2"/>
  <c r="M34" i="2"/>
  <c r="M46" i="2" s="1"/>
  <c r="N34" i="2"/>
  <c r="P34" i="2"/>
  <c r="Q34" i="2"/>
  <c r="R34" i="2"/>
  <c r="R46" i="2" s="1"/>
  <c r="S34" i="2"/>
  <c r="C40" i="2"/>
  <c r="C42" i="2" s="1"/>
  <c r="C44" i="2" s="1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C41" i="2"/>
  <c r="D41" i="2"/>
  <c r="E41" i="2"/>
  <c r="F41" i="2"/>
  <c r="G41" i="2"/>
  <c r="H41" i="2"/>
  <c r="I41" i="2"/>
  <c r="I42" i="2" s="1"/>
  <c r="I44" i="2" s="1"/>
  <c r="J41" i="2"/>
  <c r="J42" i="2" s="1"/>
  <c r="J44" i="2" s="1"/>
  <c r="K41" i="2"/>
  <c r="L41" i="2"/>
  <c r="M41" i="2"/>
  <c r="M42" i="2" s="1"/>
  <c r="M44" i="2" s="1"/>
  <c r="N41" i="2"/>
  <c r="N42" i="2" s="1"/>
  <c r="N44" i="2" s="1"/>
  <c r="P41" i="2"/>
  <c r="Q41" i="2"/>
  <c r="R41" i="2"/>
  <c r="S41" i="2"/>
  <c r="D42" i="2"/>
  <c r="E42" i="2"/>
  <c r="G42" i="2"/>
  <c r="G44" i="2" s="1"/>
  <c r="H42" i="2"/>
  <c r="H44" i="2" s="1"/>
  <c r="K42" i="2"/>
  <c r="K44" i="2" s="1"/>
  <c r="L42" i="2"/>
  <c r="L44" i="2" s="1"/>
  <c r="O42" i="2"/>
  <c r="P42" i="2"/>
  <c r="P44" i="2" s="1"/>
  <c r="Q42" i="2"/>
  <c r="R42" i="2"/>
  <c r="S42" i="2"/>
  <c r="S44" i="2" s="1"/>
  <c r="C43" i="2"/>
  <c r="D43" i="2"/>
  <c r="E43" i="2"/>
  <c r="F43" i="2"/>
  <c r="G43" i="2"/>
  <c r="H43" i="2"/>
  <c r="I43" i="2"/>
  <c r="J43" i="2"/>
  <c r="K43" i="2"/>
  <c r="L43" i="2"/>
  <c r="M43" i="2"/>
  <c r="N43" i="2"/>
  <c r="P43" i="2"/>
  <c r="Q43" i="2"/>
  <c r="R43" i="2"/>
  <c r="R44" i="2" s="1"/>
  <c r="S43" i="2"/>
  <c r="D44" i="2"/>
  <c r="E44" i="2"/>
  <c r="Q44" i="2"/>
  <c r="D46" i="2"/>
  <c r="H46" i="2"/>
  <c r="L46" i="2"/>
  <c r="Q46" i="2"/>
  <c r="D4" i="4"/>
  <c r="E4" i="4" s="1"/>
  <c r="H4" i="4"/>
  <c r="D5" i="4"/>
  <c r="E5" i="4" s="1"/>
  <c r="F5" i="4" s="1"/>
  <c r="G5" i="4" s="1"/>
  <c r="H5" i="4"/>
  <c r="C6" i="4"/>
  <c r="H6" i="4" s="1"/>
  <c r="B6" i="4" s="1"/>
  <c r="D6" i="4"/>
  <c r="CY6" i="7"/>
  <c r="O3" i="6"/>
  <c r="AC3" i="6"/>
  <c r="O7" i="6"/>
  <c r="AC7" i="6"/>
  <c r="O8" i="6"/>
  <c r="AC8" i="6"/>
  <c r="O9" i="6"/>
  <c r="AC9" i="6"/>
  <c r="D10" i="6"/>
  <c r="E10" i="6" s="1"/>
  <c r="F10" i="6" s="1"/>
  <c r="G10" i="6" s="1"/>
  <c r="H10" i="6" s="1"/>
  <c r="I10" i="6" s="1"/>
  <c r="J10" i="6" s="1"/>
  <c r="K10" i="6" s="1"/>
  <c r="L10" i="6" s="1"/>
  <c r="M10" i="6" s="1"/>
  <c r="N10" i="6" s="1"/>
  <c r="O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C12" i="6"/>
  <c r="D12" i="6"/>
  <c r="E12" i="6"/>
  <c r="F12" i="6"/>
  <c r="G12" i="6"/>
  <c r="H12" i="6"/>
  <c r="I12" i="6"/>
  <c r="J12" i="6"/>
  <c r="K12" i="6"/>
  <c r="L12" i="6"/>
  <c r="M12" i="6"/>
  <c r="N12" i="6"/>
  <c r="Q12" i="6"/>
  <c r="R12" i="6"/>
  <c r="S12" i="6"/>
  <c r="T12" i="6"/>
  <c r="AC12" i="6" s="1"/>
  <c r="U12" i="6"/>
  <c r="V12" i="6"/>
  <c r="W12" i="6"/>
  <c r="X12" i="6"/>
  <c r="Y12" i="6"/>
  <c r="Z12" i="6"/>
  <c r="AA12" i="6"/>
  <c r="AB12" i="6"/>
  <c r="AD12" i="6"/>
  <c r="AE12" i="6"/>
  <c r="AF12" i="6"/>
  <c r="AG12" i="6"/>
  <c r="O17" i="6"/>
  <c r="AC17" i="6"/>
  <c r="O18" i="6"/>
  <c r="AC18" i="6"/>
  <c r="O19" i="6"/>
  <c r="AC19" i="6"/>
  <c r="C20" i="6"/>
  <c r="D20" i="6"/>
  <c r="E20" i="6"/>
  <c r="F20" i="6"/>
  <c r="G20" i="6"/>
  <c r="G42" i="6" s="1"/>
  <c r="H20" i="6"/>
  <c r="I20" i="6"/>
  <c r="J20" i="6"/>
  <c r="K20" i="6"/>
  <c r="L20" i="6"/>
  <c r="M20" i="6"/>
  <c r="N20" i="6"/>
  <c r="Q20" i="6"/>
  <c r="R20" i="6"/>
  <c r="S20" i="6"/>
  <c r="T20" i="6"/>
  <c r="U20" i="6"/>
  <c r="V20" i="6"/>
  <c r="W20" i="6"/>
  <c r="X20" i="6"/>
  <c r="Y20" i="6"/>
  <c r="Y42" i="6" s="1"/>
  <c r="Z20" i="6"/>
  <c r="AA20" i="6"/>
  <c r="AB20" i="6"/>
  <c r="AD20" i="6"/>
  <c r="AE20" i="6"/>
  <c r="AF20" i="6"/>
  <c r="AG20" i="6"/>
  <c r="O23" i="6"/>
  <c r="AC23" i="6"/>
  <c r="O24" i="6"/>
  <c r="AC24" i="6"/>
  <c r="O25" i="6"/>
  <c r="AC25" i="6"/>
  <c r="C26" i="6"/>
  <c r="D26" i="6"/>
  <c r="E26" i="6"/>
  <c r="E42" i="6" s="1"/>
  <c r="F26" i="6"/>
  <c r="G26" i="6"/>
  <c r="H26" i="6"/>
  <c r="I26" i="6"/>
  <c r="I42" i="6" s="1"/>
  <c r="J26" i="6"/>
  <c r="K26" i="6"/>
  <c r="L26" i="6"/>
  <c r="M26" i="6"/>
  <c r="M42" i="6" s="1"/>
  <c r="N26" i="6"/>
  <c r="Q26" i="6"/>
  <c r="R26" i="6"/>
  <c r="S26" i="6"/>
  <c r="T26" i="6"/>
  <c r="U26" i="6"/>
  <c r="V26" i="6"/>
  <c r="W26" i="6"/>
  <c r="X26" i="6"/>
  <c r="Y26" i="6"/>
  <c r="Z26" i="6"/>
  <c r="AA26" i="6"/>
  <c r="AB26" i="6"/>
  <c r="AD26" i="6"/>
  <c r="AE26" i="6"/>
  <c r="AF26" i="6"/>
  <c r="AG26" i="6"/>
  <c r="O29" i="6"/>
  <c r="AC29" i="6"/>
  <c r="O30" i="6"/>
  <c r="AC30" i="6"/>
  <c r="O31" i="6"/>
  <c r="AC31" i="6"/>
  <c r="C32" i="6"/>
  <c r="D32" i="6"/>
  <c r="E32" i="6"/>
  <c r="F32" i="6"/>
  <c r="G32" i="6"/>
  <c r="H32" i="6"/>
  <c r="I32" i="6"/>
  <c r="J32" i="6"/>
  <c r="K32" i="6"/>
  <c r="L32" i="6"/>
  <c r="M32" i="6"/>
  <c r="N32" i="6"/>
  <c r="Q32" i="6"/>
  <c r="R32" i="6"/>
  <c r="S32" i="6"/>
  <c r="T32" i="6"/>
  <c r="U32" i="6"/>
  <c r="V32" i="6"/>
  <c r="W32" i="6"/>
  <c r="X32" i="6"/>
  <c r="Y32" i="6"/>
  <c r="Z32" i="6"/>
  <c r="AA32" i="6"/>
  <c r="AB32" i="6"/>
  <c r="AD32" i="6"/>
  <c r="AE32" i="6"/>
  <c r="AF32" i="6"/>
  <c r="AG32" i="6"/>
  <c r="O35" i="6"/>
  <c r="AC35" i="6"/>
  <c r="O36" i="6"/>
  <c r="AC36" i="6"/>
  <c r="O37" i="6"/>
  <c r="AC37" i="6"/>
  <c r="C38" i="6"/>
  <c r="D38" i="6"/>
  <c r="E38" i="6"/>
  <c r="F38" i="6"/>
  <c r="G38" i="6"/>
  <c r="H38" i="6"/>
  <c r="H42" i="6"/>
  <c r="I38" i="6"/>
  <c r="J38" i="6"/>
  <c r="K38" i="6"/>
  <c r="L38" i="6"/>
  <c r="L42" i="6" s="1"/>
  <c r="M38" i="6"/>
  <c r="N38" i="6"/>
  <c r="Q38" i="6"/>
  <c r="R38" i="6"/>
  <c r="R42" i="6" s="1"/>
  <c r="S38" i="6"/>
  <c r="T38" i="6"/>
  <c r="U38" i="6"/>
  <c r="U42" i="6"/>
  <c r="V38" i="6"/>
  <c r="W38" i="6"/>
  <c r="X38" i="6"/>
  <c r="Y38" i="6"/>
  <c r="Z38" i="6"/>
  <c r="AA38" i="6"/>
  <c r="AB38" i="6"/>
  <c r="AB42" i="6" s="1"/>
  <c r="AD38" i="6"/>
  <c r="AE38" i="6"/>
  <c r="AF38" i="6"/>
  <c r="AG38" i="6"/>
  <c r="AG42" i="6" s="1"/>
  <c r="D40" i="6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O40" i="6" s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C42" i="6"/>
  <c r="K42" i="6"/>
  <c r="T42" i="6"/>
  <c r="V42" i="6"/>
  <c r="X42" i="6"/>
  <c r="Z42" i="6"/>
  <c r="AD42" i="6"/>
  <c r="AF42" i="6"/>
  <c r="O47" i="6"/>
  <c r="AC47" i="6"/>
  <c r="O48" i="6"/>
  <c r="AC48" i="6"/>
  <c r="C49" i="6"/>
  <c r="D49" i="6"/>
  <c r="E49" i="6"/>
  <c r="F49" i="6"/>
  <c r="F68" i="6" s="1"/>
  <c r="G49" i="6"/>
  <c r="H49" i="6"/>
  <c r="I49" i="6"/>
  <c r="I68" i="6" s="1"/>
  <c r="J49" i="6"/>
  <c r="J68" i="6" s="1"/>
  <c r="K49" i="6"/>
  <c r="L49" i="6"/>
  <c r="M49" i="6"/>
  <c r="M68" i="6" s="1"/>
  <c r="N49" i="6"/>
  <c r="N68" i="6" s="1"/>
  <c r="Q49" i="6"/>
  <c r="R49" i="6"/>
  <c r="S49" i="6"/>
  <c r="S68" i="6" s="1"/>
  <c r="T49" i="6"/>
  <c r="U49" i="6"/>
  <c r="V49" i="6"/>
  <c r="W49" i="6"/>
  <c r="W68" i="6" s="1"/>
  <c r="X49" i="6"/>
  <c r="Y49" i="6"/>
  <c r="Z49" i="6"/>
  <c r="AA49" i="6"/>
  <c r="AA68" i="6" s="1"/>
  <c r="AB49" i="6"/>
  <c r="AD49" i="6"/>
  <c r="AE49" i="6"/>
  <c r="AF49" i="6"/>
  <c r="AF68" i="6" s="1"/>
  <c r="AG49" i="6"/>
  <c r="O52" i="6"/>
  <c r="AC52" i="6"/>
  <c r="AC53" i="6" s="1"/>
  <c r="O53" i="6"/>
  <c r="C54" i="6"/>
  <c r="D54" i="6"/>
  <c r="E54" i="6"/>
  <c r="F54" i="6"/>
  <c r="G54" i="6"/>
  <c r="H54" i="6"/>
  <c r="I54" i="6"/>
  <c r="J54" i="6"/>
  <c r="K54" i="6"/>
  <c r="L54" i="6"/>
  <c r="M54" i="6"/>
  <c r="N54" i="6"/>
  <c r="Q54" i="6"/>
  <c r="R54" i="6"/>
  <c r="S54" i="6"/>
  <c r="T54" i="6"/>
  <c r="U54" i="6"/>
  <c r="V54" i="6"/>
  <c r="W54" i="6"/>
  <c r="X54" i="6"/>
  <c r="Y54" i="6"/>
  <c r="Z54" i="6"/>
  <c r="AA54" i="6"/>
  <c r="AB54" i="6"/>
  <c r="AD54" i="6"/>
  <c r="AE54" i="6"/>
  <c r="AF54" i="6"/>
  <c r="AG54" i="6"/>
  <c r="O57" i="6"/>
  <c r="AC57" i="6"/>
  <c r="AC58" i="6" s="1"/>
  <c r="O58" i="6"/>
  <c r="C59" i="6"/>
  <c r="D59" i="6"/>
  <c r="D68" i="6" s="1"/>
  <c r="E59" i="6"/>
  <c r="F59" i="6"/>
  <c r="G59" i="6"/>
  <c r="H59" i="6"/>
  <c r="H68" i="6" s="1"/>
  <c r="I59" i="6"/>
  <c r="J59" i="6"/>
  <c r="K59" i="6"/>
  <c r="L59" i="6"/>
  <c r="L68" i="6" s="1"/>
  <c r="M59" i="6"/>
  <c r="N59" i="6"/>
  <c r="Q59" i="6"/>
  <c r="R59" i="6"/>
  <c r="AC59" i="6" s="1"/>
  <c r="S59" i="6"/>
  <c r="T59" i="6"/>
  <c r="U59" i="6"/>
  <c r="V59" i="6"/>
  <c r="W59" i="6"/>
  <c r="X59" i="6"/>
  <c r="Y59" i="6"/>
  <c r="Z59" i="6"/>
  <c r="AA59" i="6"/>
  <c r="AB59" i="6"/>
  <c r="AD59" i="6"/>
  <c r="AE59" i="6"/>
  <c r="AF59" i="6"/>
  <c r="AG59" i="6"/>
  <c r="O62" i="6"/>
  <c r="O63" i="6" s="1"/>
  <c r="AC62" i="6"/>
  <c r="AC63" i="6" s="1"/>
  <c r="C64" i="6"/>
  <c r="D64" i="6"/>
  <c r="E64" i="6"/>
  <c r="F64" i="6"/>
  <c r="G64" i="6"/>
  <c r="H64" i="6"/>
  <c r="I64" i="6"/>
  <c r="J64" i="6"/>
  <c r="K64" i="6"/>
  <c r="L64" i="6"/>
  <c r="M64" i="6"/>
  <c r="N64" i="6"/>
  <c r="Q64" i="6"/>
  <c r="R64" i="6"/>
  <c r="S64" i="6"/>
  <c r="T64" i="6"/>
  <c r="U64" i="6"/>
  <c r="V64" i="6"/>
  <c r="W64" i="6"/>
  <c r="X64" i="6"/>
  <c r="Y64" i="6"/>
  <c r="Z64" i="6"/>
  <c r="AA64" i="6"/>
  <c r="AB64" i="6"/>
  <c r="AD64" i="6"/>
  <c r="AE64" i="6"/>
  <c r="AF64" i="6"/>
  <c r="AG64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 s="1"/>
  <c r="AD66" i="6"/>
  <c r="AE66" i="6"/>
  <c r="AF66" i="6"/>
  <c r="AG66" i="6"/>
  <c r="C68" i="6"/>
  <c r="G68" i="6"/>
  <c r="K68" i="6"/>
  <c r="Q68" i="6"/>
  <c r="T68" i="6"/>
  <c r="U68" i="6"/>
  <c r="X68" i="6"/>
  <c r="Y68" i="6"/>
  <c r="AB68" i="6"/>
  <c r="AD68" i="6"/>
  <c r="AG68" i="6"/>
  <c r="DF26" i="7"/>
  <c r="DY26" i="7" s="1"/>
  <c r="DF27" i="7"/>
  <c r="DY27" i="7" s="1"/>
  <c r="DF30" i="7"/>
  <c r="DY30" i="7" s="1"/>
  <c r="CW30" i="7"/>
  <c r="DP30" i="7" s="1"/>
  <c r="DB30" i="7"/>
  <c r="DU30" i="7" s="1"/>
  <c r="DF19" i="7"/>
  <c r="DY19" i="7" s="1"/>
  <c r="B8" i="9"/>
  <c r="B5" i="10"/>
  <c r="C5" i="10"/>
  <c r="D5" i="10"/>
  <c r="B7" i="10"/>
  <c r="C7" i="10"/>
  <c r="D7" i="10"/>
  <c r="B8" i="10"/>
  <c r="C8" i="10"/>
  <c r="D8" i="10"/>
  <c r="B23" i="10"/>
  <c r="C23" i="10"/>
  <c r="D23" i="10"/>
  <c r="B31" i="10"/>
  <c r="C31" i="10"/>
  <c r="C34" i="10" s="1"/>
  <c r="D31" i="10"/>
  <c r="B34" i="10"/>
  <c r="D34" i="10"/>
  <c r="B46" i="10"/>
  <c r="C46" i="10"/>
  <c r="D46" i="10"/>
  <c r="C9" i="12"/>
  <c r="O9" i="12" s="1"/>
  <c r="D9" i="12"/>
  <c r="E9" i="12"/>
  <c r="F9" i="12"/>
  <c r="G9" i="12"/>
  <c r="H9" i="12"/>
  <c r="I9" i="12"/>
  <c r="J9" i="12"/>
  <c r="K9" i="12"/>
  <c r="L9" i="12"/>
  <c r="M9" i="12"/>
  <c r="N9" i="12"/>
  <c r="Q9" i="12"/>
  <c r="AC9" i="12" s="1"/>
  <c r="R9" i="12"/>
  <c r="S9" i="12"/>
  <c r="T9" i="12"/>
  <c r="U9" i="12"/>
  <c r="V9" i="12"/>
  <c r="W9" i="12"/>
  <c r="X9" i="12"/>
  <c r="Y9" i="12"/>
  <c r="Z9" i="12"/>
  <c r="AA9" i="12"/>
  <c r="AB9" i="12"/>
  <c r="AD9" i="12"/>
  <c r="AE9" i="12"/>
  <c r="AF9" i="12"/>
  <c r="AG9" i="12"/>
  <c r="C10" i="12"/>
  <c r="O10" i="12" s="1"/>
  <c r="Q10" i="12"/>
  <c r="AC10" i="12" s="1"/>
  <c r="R10" i="12"/>
  <c r="S10" i="12"/>
  <c r="T10" i="12"/>
  <c r="U10" i="12"/>
  <c r="V10" i="12"/>
  <c r="W10" i="12"/>
  <c r="X10" i="12"/>
  <c r="Y10" i="12"/>
  <c r="Z10" i="12"/>
  <c r="AA10" i="12"/>
  <c r="AB10" i="12"/>
  <c r="AD10" i="12"/>
  <c r="AE10" i="12"/>
  <c r="AF10" i="12"/>
  <c r="AG10" i="12"/>
  <c r="C12" i="12"/>
  <c r="O12" i="12" s="1"/>
  <c r="D12" i="12"/>
  <c r="E12" i="12"/>
  <c r="F12" i="12"/>
  <c r="G12" i="12"/>
  <c r="H12" i="12"/>
  <c r="I12" i="12"/>
  <c r="J12" i="12"/>
  <c r="K12" i="12"/>
  <c r="L12" i="12"/>
  <c r="M12" i="12"/>
  <c r="N12" i="12"/>
  <c r="Q12" i="12"/>
  <c r="AC12" i="12" s="1"/>
  <c r="R12" i="12"/>
  <c r="S12" i="12"/>
  <c r="T12" i="12"/>
  <c r="U12" i="12"/>
  <c r="V12" i="12"/>
  <c r="W12" i="12"/>
  <c r="X12" i="12"/>
  <c r="Y12" i="12"/>
  <c r="Z12" i="12"/>
  <c r="AA12" i="12"/>
  <c r="AB12" i="12"/>
  <c r="AD12" i="12"/>
  <c r="AE12" i="12"/>
  <c r="AF12" i="12"/>
  <c r="AG12" i="12"/>
  <c r="C20" i="12"/>
  <c r="O20" i="12" s="1"/>
  <c r="D20" i="12"/>
  <c r="E20" i="12"/>
  <c r="F20" i="12"/>
  <c r="G20" i="12"/>
  <c r="H20" i="12"/>
  <c r="I20" i="12"/>
  <c r="J20" i="12"/>
  <c r="K20" i="12"/>
  <c r="L20" i="12"/>
  <c r="M20" i="12"/>
  <c r="N20" i="12"/>
  <c r="Q20" i="12"/>
  <c r="AC20" i="12" s="1"/>
  <c r="R20" i="12"/>
  <c r="S20" i="12"/>
  <c r="T20" i="12"/>
  <c r="U20" i="12"/>
  <c r="V20" i="12"/>
  <c r="W20" i="12"/>
  <c r="X20" i="12"/>
  <c r="Y20" i="12"/>
  <c r="Z20" i="12"/>
  <c r="AA20" i="12"/>
  <c r="AB20" i="12"/>
  <c r="AD20" i="12"/>
  <c r="AE20" i="12"/>
  <c r="AF20" i="12"/>
  <c r="AG20" i="12"/>
  <c r="C21" i="12"/>
  <c r="O21" i="12" s="1"/>
  <c r="D21" i="12"/>
  <c r="E21" i="12"/>
  <c r="F21" i="12"/>
  <c r="G21" i="12"/>
  <c r="H21" i="12"/>
  <c r="I21" i="12"/>
  <c r="J21" i="12"/>
  <c r="K21" i="12"/>
  <c r="L21" i="12"/>
  <c r="M21" i="12"/>
  <c r="N21" i="12"/>
  <c r="Q21" i="12"/>
  <c r="AC21" i="12" s="1"/>
  <c r="R21" i="12"/>
  <c r="S21" i="12"/>
  <c r="T21" i="12"/>
  <c r="U21" i="12"/>
  <c r="V21" i="12"/>
  <c r="W21" i="12"/>
  <c r="X21" i="12"/>
  <c r="Y21" i="12"/>
  <c r="Z21" i="12"/>
  <c r="AA21" i="12"/>
  <c r="AB21" i="12"/>
  <c r="AD21" i="12"/>
  <c r="AE21" i="12"/>
  <c r="AF21" i="12"/>
  <c r="AG21" i="12"/>
  <c r="C22" i="12"/>
  <c r="O22" i="12" s="1"/>
  <c r="D22" i="12"/>
  <c r="E22" i="12"/>
  <c r="F22" i="12"/>
  <c r="G22" i="12"/>
  <c r="H22" i="12"/>
  <c r="I22" i="12"/>
  <c r="J22" i="12"/>
  <c r="K22" i="12"/>
  <c r="L22" i="12"/>
  <c r="M22" i="12"/>
  <c r="N22" i="12"/>
  <c r="Q22" i="12"/>
  <c r="AC22" i="12" s="1"/>
  <c r="R22" i="12"/>
  <c r="S22" i="12"/>
  <c r="T22" i="12"/>
  <c r="U22" i="12"/>
  <c r="V22" i="12"/>
  <c r="W22" i="12"/>
  <c r="X22" i="12"/>
  <c r="Y22" i="12"/>
  <c r="Z22" i="12"/>
  <c r="AA22" i="12"/>
  <c r="AB22" i="12"/>
  <c r="AE3" i="17"/>
  <c r="AF3" i="17"/>
  <c r="AB4" i="17"/>
  <c r="AC4" i="17"/>
  <c r="BC4" i="17" s="1"/>
  <c r="AD4" i="17"/>
  <c r="BD4" i="17"/>
  <c r="AE4" i="17"/>
  <c r="BE4" i="17" s="1"/>
  <c r="AF4" i="17"/>
  <c r="BB4" i="17"/>
  <c r="BF4" i="17"/>
  <c r="AB5" i="17"/>
  <c r="BB5" i="17" s="1"/>
  <c r="AC5" i="17"/>
  <c r="BC5" i="17" s="1"/>
  <c r="AD5" i="17"/>
  <c r="BD5" i="17" s="1"/>
  <c r="AE5" i="17"/>
  <c r="BE5" i="17" s="1"/>
  <c r="AF5" i="17"/>
  <c r="BF5" i="17"/>
  <c r="AB6" i="17"/>
  <c r="BB6" i="17" s="1"/>
  <c r="AC6" i="17"/>
  <c r="BC6" i="17" s="1"/>
  <c r="AD6" i="17"/>
  <c r="BD6" i="17" s="1"/>
  <c r="AE6" i="17"/>
  <c r="BE6" i="17"/>
  <c r="AF6" i="17"/>
  <c r="BF6" i="17"/>
  <c r="AB7" i="17"/>
  <c r="BB7" i="17" s="1"/>
  <c r="AC7" i="17"/>
  <c r="BC7" i="17" s="1"/>
  <c r="AD7" i="17"/>
  <c r="BD7" i="17" s="1"/>
  <c r="AE7" i="17"/>
  <c r="BE7" i="17"/>
  <c r="AF7" i="17"/>
  <c r="BF7" i="17" s="1"/>
  <c r="AB8" i="17"/>
  <c r="BB8" i="17" s="1"/>
  <c r="AC8" i="17"/>
  <c r="BC8" i="17" s="1"/>
  <c r="AD8" i="17"/>
  <c r="BD8" i="17" s="1"/>
  <c r="AE8" i="17"/>
  <c r="BE8" i="17"/>
  <c r="AF8" i="17"/>
  <c r="BF8" i="17"/>
  <c r="AB9" i="17"/>
  <c r="BB9" i="17" s="1"/>
  <c r="AC9" i="17"/>
  <c r="BC9" i="17" s="1"/>
  <c r="AD9" i="17"/>
  <c r="BD9" i="17" s="1"/>
  <c r="AE9" i="17"/>
  <c r="BE9" i="17" s="1"/>
  <c r="AF9" i="17"/>
  <c r="BF9" i="17"/>
  <c r="AB10" i="17"/>
  <c r="BB10" i="17" s="1"/>
  <c r="AC10" i="17"/>
  <c r="BC10" i="17" s="1"/>
  <c r="AD10" i="17"/>
  <c r="BD10" i="17" s="1"/>
  <c r="AE10" i="17"/>
  <c r="BE10" i="17"/>
  <c r="AF10" i="17"/>
  <c r="BF10" i="17"/>
  <c r="AB11" i="17"/>
  <c r="BB11" i="17" s="1"/>
  <c r="AC11" i="17"/>
  <c r="BC11" i="17" s="1"/>
  <c r="AD11" i="17"/>
  <c r="BD11" i="17" s="1"/>
  <c r="AE11" i="17"/>
  <c r="BE11" i="17"/>
  <c r="AF11" i="17"/>
  <c r="BF11" i="17" s="1"/>
  <c r="AB12" i="17"/>
  <c r="BB12" i="17" s="1"/>
  <c r="AC12" i="17"/>
  <c r="BC12" i="17" s="1"/>
  <c r="AD12" i="17"/>
  <c r="BD12" i="17" s="1"/>
  <c r="AE12" i="17"/>
  <c r="BE12" i="17"/>
  <c r="AF12" i="17"/>
  <c r="BF12" i="17"/>
  <c r="AB13" i="17"/>
  <c r="BB13" i="17" s="1"/>
  <c r="AC13" i="17"/>
  <c r="BC13" i="17" s="1"/>
  <c r="AD13" i="17"/>
  <c r="BD13" i="17" s="1"/>
  <c r="AE13" i="17"/>
  <c r="BE13" i="17" s="1"/>
  <c r="AF13" i="17"/>
  <c r="BF13" i="17"/>
  <c r="AB14" i="17"/>
  <c r="BB14" i="17" s="1"/>
  <c r="AC14" i="17"/>
  <c r="BC14" i="17" s="1"/>
  <c r="AD14" i="17"/>
  <c r="AE14" i="17"/>
  <c r="BE14" i="17"/>
  <c r="AF14" i="17"/>
  <c r="BF14" i="17" s="1"/>
  <c r="BD14" i="17"/>
  <c r="AB15" i="17"/>
  <c r="BB15" i="17" s="1"/>
  <c r="AC15" i="17"/>
  <c r="BC15" i="17" s="1"/>
  <c r="AD15" i="17"/>
  <c r="BD15" i="17" s="1"/>
  <c r="AE15" i="17"/>
  <c r="BE15" i="17"/>
  <c r="AF15" i="17"/>
  <c r="BF15" i="17"/>
  <c r="AB16" i="17"/>
  <c r="BB16" i="17" s="1"/>
  <c r="AC16" i="17"/>
  <c r="BC16" i="17" s="1"/>
  <c r="AD16" i="17"/>
  <c r="AE16" i="17"/>
  <c r="BE16" i="17"/>
  <c r="AF16" i="17"/>
  <c r="BF16" i="17" s="1"/>
  <c r="BD16" i="17"/>
  <c r="AB17" i="17"/>
  <c r="BB17" i="17" s="1"/>
  <c r="AC17" i="17"/>
  <c r="BC17" i="17" s="1"/>
  <c r="AD17" i="17"/>
  <c r="AE17" i="17"/>
  <c r="BE17" i="17"/>
  <c r="AF17" i="17"/>
  <c r="BF17" i="17" s="1"/>
  <c r="BD17" i="17"/>
  <c r="AB18" i="17"/>
  <c r="BB18" i="17"/>
  <c r="AC18" i="17"/>
  <c r="BC18" i="17"/>
  <c r="AD18" i="17"/>
  <c r="BD18" i="17" s="1"/>
  <c r="AE18" i="17"/>
  <c r="BE18" i="17" s="1"/>
  <c r="AF18" i="17"/>
  <c r="BF18" i="17" s="1"/>
  <c r="AB19" i="17"/>
  <c r="BB19" i="17"/>
  <c r="AC19" i="17"/>
  <c r="BC19" i="17"/>
  <c r="AD19" i="17"/>
  <c r="BD19" i="17" s="1"/>
  <c r="AE19" i="17"/>
  <c r="BE19" i="17" s="1"/>
  <c r="AF19" i="17"/>
  <c r="BF19" i="17" s="1"/>
  <c r="AB20" i="17"/>
  <c r="BB20" i="17" s="1"/>
  <c r="AC20" i="17"/>
  <c r="BC20" i="17" s="1"/>
  <c r="AD20" i="17"/>
  <c r="AE20" i="17"/>
  <c r="BE20" i="17"/>
  <c r="AF20" i="17"/>
  <c r="BF20" i="17" s="1"/>
  <c r="BD20" i="17"/>
  <c r="AB21" i="17"/>
  <c r="BB21" i="17" s="1"/>
  <c r="AC21" i="17"/>
  <c r="BC21" i="17"/>
  <c r="AD21" i="17"/>
  <c r="BD21" i="17" s="1"/>
  <c r="AE21" i="17"/>
  <c r="BE21" i="17" s="1"/>
  <c r="AF21" i="17"/>
  <c r="BF21" i="17" s="1"/>
  <c r="AB22" i="17"/>
  <c r="BB22" i="17" s="1"/>
  <c r="AC22" i="17"/>
  <c r="BC22" i="17"/>
  <c r="AD22" i="17"/>
  <c r="BD22" i="17" s="1"/>
  <c r="AE22" i="17"/>
  <c r="BE22" i="17" s="1"/>
  <c r="AF22" i="17"/>
  <c r="BF22" i="17" s="1"/>
  <c r="AB23" i="17"/>
  <c r="BB23" i="17" s="1"/>
  <c r="AC23" i="17"/>
  <c r="BC23" i="17"/>
  <c r="AD23" i="17"/>
  <c r="BD23" i="17" s="1"/>
  <c r="AE23" i="17"/>
  <c r="BE23" i="17" s="1"/>
  <c r="AF23" i="17"/>
  <c r="BF23" i="17" s="1"/>
  <c r="D24" i="17"/>
  <c r="AH5" i="18"/>
  <c r="AI5" i="18"/>
  <c r="AI8" i="18" s="1"/>
  <c r="AJ5" i="18"/>
  <c r="AJ8" i="18" s="1"/>
  <c r="AK5" i="18"/>
  <c r="AL5" i="18"/>
  <c r="AH6" i="18"/>
  <c r="AI6" i="18"/>
  <c r="AJ6" i="18"/>
  <c r="AK6" i="18"/>
  <c r="AL6" i="18"/>
  <c r="AH8" i="18"/>
  <c r="AK8" i="18"/>
  <c r="AL8" i="18"/>
  <c r="B8" i="20"/>
  <c r="C13" i="24"/>
  <c r="C20" i="24"/>
  <c r="C22" i="24" s="1"/>
  <c r="C34" i="24"/>
  <c r="C40" i="24"/>
  <c r="AH8" i="25"/>
  <c r="AH14" i="25"/>
  <c r="AH15" i="25" s="1"/>
  <c r="A55" i="25"/>
  <c r="D2" i="2"/>
  <c r="H2" i="2"/>
  <c r="L2" i="2"/>
  <c r="P2" i="2"/>
  <c r="E2" i="2"/>
  <c r="I2" i="2"/>
  <c r="M2" i="2"/>
  <c r="D2" i="4"/>
  <c r="O2" i="2"/>
  <c r="C2" i="4"/>
  <c r="G2" i="4"/>
  <c r="D2" i="6"/>
  <c r="F2" i="6"/>
  <c r="H2" i="6"/>
  <c r="J2" i="6"/>
  <c r="L2" i="6"/>
  <c r="N2" i="6"/>
  <c r="Q2" i="6"/>
  <c r="S2" i="6"/>
  <c r="U2" i="6"/>
  <c r="W2" i="6"/>
  <c r="Y2" i="6"/>
  <c r="AA2" i="6"/>
  <c r="AC2" i="6"/>
  <c r="AE2" i="6"/>
  <c r="AG2" i="6"/>
  <c r="D6" i="6"/>
  <c r="F6" i="6"/>
  <c r="H6" i="6"/>
  <c r="J6" i="6"/>
  <c r="L6" i="6"/>
  <c r="N6" i="6"/>
  <c r="Q6" i="6"/>
  <c r="S6" i="6"/>
  <c r="U6" i="6"/>
  <c r="W6" i="6"/>
  <c r="Y6" i="6"/>
  <c r="AA6" i="6"/>
  <c r="AC6" i="6"/>
  <c r="AE6" i="6"/>
  <c r="AG6" i="6"/>
  <c r="C15" i="6"/>
  <c r="E15" i="6"/>
  <c r="G15" i="6"/>
  <c r="I15" i="6"/>
  <c r="K15" i="6"/>
  <c r="M15" i="6"/>
  <c r="O15" i="6"/>
  <c r="R15" i="6"/>
  <c r="T15" i="6"/>
  <c r="V15" i="6"/>
  <c r="X15" i="6"/>
  <c r="Z15" i="6"/>
  <c r="AB15" i="6"/>
  <c r="AD15" i="6"/>
  <c r="AF15" i="6"/>
  <c r="D45" i="6"/>
  <c r="F45" i="6"/>
  <c r="H45" i="6"/>
  <c r="C2" i="6"/>
  <c r="E2" i="6"/>
  <c r="G2" i="6"/>
  <c r="I2" i="6"/>
  <c r="K2" i="6"/>
  <c r="M2" i="6"/>
  <c r="O2" i="6"/>
  <c r="R2" i="6"/>
  <c r="T2" i="6"/>
  <c r="V2" i="6"/>
  <c r="X2" i="6"/>
  <c r="Z2" i="6"/>
  <c r="AB2" i="6"/>
  <c r="AD2" i="6"/>
  <c r="AF2" i="6"/>
  <c r="C6" i="6"/>
  <c r="E6" i="6"/>
  <c r="G6" i="6"/>
  <c r="I6" i="6"/>
  <c r="K6" i="6"/>
  <c r="M6" i="6"/>
  <c r="O6" i="6"/>
  <c r="R6" i="6"/>
  <c r="T6" i="6"/>
  <c r="V6" i="6"/>
  <c r="X6" i="6"/>
  <c r="Z6" i="6"/>
  <c r="AB6" i="6"/>
  <c r="AD6" i="6"/>
  <c r="AF6" i="6"/>
  <c r="D15" i="6"/>
  <c r="F15" i="6"/>
  <c r="H15" i="6"/>
  <c r="J15" i="6"/>
  <c r="L15" i="6"/>
  <c r="N15" i="6"/>
  <c r="Q15" i="6"/>
  <c r="S15" i="6"/>
  <c r="U15" i="6"/>
  <c r="W15" i="6"/>
  <c r="Y15" i="6"/>
  <c r="AA15" i="6"/>
  <c r="AC15" i="6"/>
  <c r="AE15" i="6"/>
  <c r="AG15" i="6"/>
  <c r="E45" i="6"/>
  <c r="I45" i="6"/>
  <c r="K45" i="6"/>
  <c r="M45" i="6"/>
  <c r="O45" i="6"/>
  <c r="R45" i="6"/>
  <c r="T45" i="6"/>
  <c r="V45" i="6"/>
  <c r="X45" i="6"/>
  <c r="Z45" i="6"/>
  <c r="AB45" i="6"/>
  <c r="AD45" i="6"/>
  <c r="AF45" i="6"/>
  <c r="CT2" i="7"/>
  <c r="CV2" i="7"/>
  <c r="CX2" i="7"/>
  <c r="CZ2" i="7"/>
  <c r="DB2" i="7"/>
  <c r="DD2" i="7"/>
  <c r="DF2" i="7"/>
  <c r="DH2" i="7"/>
  <c r="DL2" i="7"/>
  <c r="DN2" i="7"/>
  <c r="DP2" i="7"/>
  <c r="DR2" i="7"/>
  <c r="DT2" i="7"/>
  <c r="DV2" i="7"/>
  <c r="DX2" i="7"/>
  <c r="DZ2" i="7"/>
  <c r="EB2" i="7"/>
  <c r="C45" i="6"/>
  <c r="G45" i="6"/>
  <c r="J45" i="6"/>
  <c r="L45" i="6"/>
  <c r="N45" i="6"/>
  <c r="Q45" i="6"/>
  <c r="S45" i="6"/>
  <c r="U45" i="6"/>
  <c r="W45" i="6"/>
  <c r="Y45" i="6"/>
  <c r="AA45" i="6"/>
  <c r="AC45" i="6"/>
  <c r="AE45" i="6"/>
  <c r="AG45" i="6"/>
  <c r="CS2" i="7"/>
  <c r="CU2" i="7"/>
  <c r="CW2" i="7"/>
  <c r="CY2" i="7"/>
  <c r="DA2" i="7"/>
  <c r="DC2" i="7"/>
  <c r="DE2" i="7"/>
  <c r="DG2" i="7"/>
  <c r="DI2" i="7"/>
  <c r="DM2" i="7"/>
  <c r="DO2" i="7"/>
  <c r="DQ2" i="7"/>
  <c r="DS2" i="7"/>
  <c r="DU2" i="7"/>
  <c r="DW2" i="7"/>
  <c r="DY2" i="7"/>
  <c r="EA2" i="7"/>
  <c r="C2" i="12"/>
  <c r="E2" i="12"/>
  <c r="G2" i="12"/>
  <c r="I2" i="12"/>
  <c r="K2" i="12"/>
  <c r="M2" i="12"/>
  <c r="O2" i="12"/>
  <c r="R2" i="12"/>
  <c r="T2" i="12"/>
  <c r="V2" i="12"/>
  <c r="X2" i="12"/>
  <c r="Z2" i="12"/>
  <c r="AB2" i="12"/>
  <c r="AD2" i="12"/>
  <c r="AF2" i="12"/>
  <c r="C16" i="12"/>
  <c r="E16" i="12"/>
  <c r="G16" i="12"/>
  <c r="I16" i="12"/>
  <c r="K16" i="12"/>
  <c r="M16" i="12"/>
  <c r="O16" i="12"/>
  <c r="R16" i="12"/>
  <c r="T16" i="12"/>
  <c r="V16" i="12"/>
  <c r="X16" i="12"/>
  <c r="Z16" i="12"/>
  <c r="AB16" i="12"/>
  <c r="AD16" i="12"/>
  <c r="AF16" i="12"/>
  <c r="D2" i="12"/>
  <c r="F2" i="12"/>
  <c r="H2" i="12"/>
  <c r="J2" i="12"/>
  <c r="L2" i="12"/>
  <c r="N2" i="12"/>
  <c r="Q2" i="12"/>
  <c r="S2" i="12"/>
  <c r="U2" i="12"/>
  <c r="W2" i="12"/>
  <c r="Y2" i="12"/>
  <c r="AA2" i="12"/>
  <c r="AC2" i="12"/>
  <c r="AE2" i="12"/>
  <c r="AG2" i="12"/>
  <c r="D16" i="12"/>
  <c r="F16" i="12"/>
  <c r="H16" i="12"/>
  <c r="J16" i="12"/>
  <c r="L16" i="12"/>
  <c r="N16" i="12"/>
  <c r="Q16" i="12"/>
  <c r="S16" i="12"/>
  <c r="U16" i="12"/>
  <c r="W16" i="12"/>
  <c r="Y16" i="12"/>
  <c r="AA16" i="12"/>
  <c r="AC16" i="12"/>
  <c r="AE16" i="12"/>
  <c r="AG16" i="12"/>
  <c r="AD2" i="18"/>
  <c r="AF2" i="18"/>
  <c r="AH2" i="18"/>
  <c r="AJ2" i="18"/>
  <c r="AL2" i="18"/>
  <c r="AC2" i="25"/>
  <c r="AE2" i="25"/>
  <c r="AG2" i="25"/>
  <c r="O31" i="25"/>
  <c r="AD31" i="25"/>
  <c r="AF31" i="25"/>
  <c r="O2" i="18"/>
  <c r="AE2" i="18"/>
  <c r="AG2" i="18"/>
  <c r="AI2" i="18"/>
  <c r="AK2" i="18"/>
  <c r="O2" i="25"/>
  <c r="AF2" i="25"/>
  <c r="AC31" i="25"/>
  <c r="AG31" i="25"/>
  <c r="AD2" i="25"/>
  <c r="AE31" i="25"/>
  <c r="B21" i="9"/>
  <c r="A18" i="2"/>
  <c r="A19" i="2"/>
  <c r="A34" i="6"/>
  <c r="A61" i="6"/>
  <c r="A22" i="6"/>
  <c r="A51" i="6"/>
  <c r="A9" i="2"/>
  <c r="A17" i="2"/>
  <c r="A24" i="2"/>
  <c r="A40" i="2"/>
  <c r="A41" i="2"/>
  <c r="A42" i="2"/>
  <c r="A39" i="2"/>
  <c r="A44" i="2"/>
  <c r="A3" i="10"/>
  <c r="A5" i="10"/>
  <c r="A4" i="10"/>
  <c r="A45" i="10"/>
  <c r="A6" i="18"/>
  <c r="A17" i="25"/>
  <c r="A19" i="25"/>
  <c r="A32" i="25"/>
  <c r="A3" i="18"/>
  <c r="A4" i="18"/>
  <c r="A5" i="18"/>
  <c r="O3" i="25"/>
  <c r="A16" i="6"/>
  <c r="A46" i="6"/>
  <c r="A28" i="6"/>
  <c r="A56" i="6"/>
  <c r="A52" i="25"/>
  <c r="A22" i="25"/>
  <c r="A18" i="25"/>
  <c r="A3" i="25"/>
  <c r="C2" i="10"/>
  <c r="B11" i="10"/>
  <c r="D11" i="10"/>
  <c r="B2" i="10"/>
  <c r="D2" i="10"/>
  <c r="C11" i="10"/>
  <c r="CW7" i="7"/>
  <c r="DP7" i="7"/>
  <c r="DF7" i="7"/>
  <c r="DY7" i="7" s="1"/>
  <c r="DB7" i="7"/>
  <c r="DU7" i="7" s="1"/>
  <c r="DG7" i="7"/>
  <c r="DZ7" i="7"/>
  <c r="O38" i="6"/>
  <c r="D42" i="6"/>
  <c r="DD7" i="7"/>
  <c r="DW7" i="7" s="1"/>
  <c r="CZ7" i="7"/>
  <c r="DS7" i="7" s="1"/>
  <c r="CV7" i="7"/>
  <c r="DO7" i="7" s="1"/>
  <c r="DC7" i="7"/>
  <c r="DV7" i="7" s="1"/>
  <c r="CY7" i="7"/>
  <c r="DR7" i="7" s="1"/>
  <c r="CU7" i="7"/>
  <c r="DN7" i="7" s="1"/>
  <c r="B7" i="9"/>
  <c r="B11" i="9" s="1"/>
  <c r="C18" i="10"/>
  <c r="C25" i="10" s="1"/>
  <c r="C37" i="10" s="1"/>
  <c r="B18" i="10"/>
  <c r="D18" i="10"/>
  <c r="D25" i="10" s="1"/>
  <c r="D37" i="10" s="1"/>
  <c r="DF20" i="7"/>
  <c r="DY20" i="7" s="1"/>
  <c r="DI7" i="7"/>
  <c r="EB7" i="7" s="1"/>
  <c r="CX7" i="7"/>
  <c r="DQ7" i="7" s="1"/>
  <c r="DH7" i="7"/>
  <c r="EA7" i="7" s="1"/>
  <c r="DA7" i="7"/>
  <c r="DT7" i="7" s="1"/>
  <c r="CS7" i="7"/>
  <c r="DL7" i="7" s="1"/>
  <c r="AG37" i="25"/>
  <c r="AE37" i="25"/>
  <c r="AF37" i="25"/>
  <c r="B24" i="16"/>
  <c r="B29" i="16" s="1"/>
  <c r="B3" i="9"/>
  <c r="DF6" i="7"/>
  <c r="DF10" i="7" s="1"/>
  <c r="DF18" i="7"/>
  <c r="DY18" i="7" s="1"/>
  <c r="DF28" i="7"/>
  <c r="DY28" i="7" s="1"/>
  <c r="DF42" i="7"/>
  <c r="DY42" i="7" s="1"/>
  <c r="E2" i="4"/>
  <c r="S2" i="2"/>
  <c r="F2" i="4"/>
  <c r="Q2" i="2"/>
  <c r="K2" i="2"/>
  <c r="G2" i="2"/>
  <c r="C2" i="2"/>
  <c r="R2" i="2"/>
  <c r="N2" i="2"/>
  <c r="J2" i="2"/>
  <c r="F2" i="2"/>
  <c r="AE42" i="6"/>
  <c r="N42" i="6"/>
  <c r="J42" i="6"/>
  <c r="F42" i="6"/>
  <c r="Q42" i="6"/>
  <c r="O8" i="3"/>
  <c r="C37" i="2"/>
  <c r="D4" i="2" s="1"/>
  <c r="D37" i="2" s="1"/>
  <c r="E4" i="2" s="1"/>
  <c r="E37" i="2" s="1"/>
  <c r="F4" i="2" s="1"/>
  <c r="F37" i="2" s="1"/>
  <c r="G4" i="2" s="1"/>
  <c r="G37" i="2" s="1"/>
  <c r="H4" i="2" s="1"/>
  <c r="H37" i="2" s="1"/>
  <c r="I4" i="2" s="1"/>
  <c r="I37" i="2" s="1"/>
  <c r="J4" i="2" s="1"/>
  <c r="J37" i="2" s="1"/>
  <c r="K4" i="2" s="1"/>
  <c r="K37" i="2" s="1"/>
  <c r="L4" i="2" s="1"/>
  <c r="L37" i="2" s="1"/>
  <c r="M4" i="2" s="1"/>
  <c r="M37" i="2" s="1"/>
  <c r="N4" i="2" s="1"/>
  <c r="N37" i="2" s="1"/>
  <c r="O7" i="3"/>
  <c r="F13" i="3" s="1"/>
  <c r="DG6" i="7"/>
  <c r="DG10" i="7" s="1"/>
  <c r="CV6" i="7"/>
  <c r="CV10" i="7" s="1"/>
  <c r="CZ6" i="7"/>
  <c r="CZ10" i="7" s="1"/>
  <c r="DD6" i="7"/>
  <c r="DD10" i="7" s="1"/>
  <c r="T73" i="5"/>
  <c r="DB6" i="7"/>
  <c r="DB10" i="7" s="1"/>
  <c r="DH6" i="7"/>
  <c r="CX6" i="7"/>
  <c r="CX10" i="7" s="1"/>
  <c r="CU6" i="7"/>
  <c r="CU10" i="7" s="1"/>
  <c r="CT6" i="7"/>
  <c r="CT10" i="7" s="1"/>
  <c r="DI6" i="7"/>
  <c r="DI10" i="7" s="1"/>
  <c r="DC6" i="7"/>
  <c r="DC10" i="7" s="1"/>
  <c r="DA6" i="7"/>
  <c r="DA10" i="7" s="1"/>
  <c r="CW6" i="7"/>
  <c r="CS6" i="7"/>
  <c r="CS10" i="7" s="1"/>
  <c r="AC37" i="25"/>
  <c r="AD37" i="25"/>
  <c r="DY34" i="28"/>
  <c r="DW34" i="28"/>
  <c r="DU34" i="28"/>
  <c r="DS34" i="28"/>
  <c r="DQ34" i="28"/>
  <c r="DO34" i="28"/>
  <c r="DM34" i="28"/>
  <c r="DK34" i="28"/>
  <c r="DI34" i="28"/>
  <c r="DE34" i="28"/>
  <c r="DC34" i="28"/>
  <c r="DA34" i="28"/>
  <c r="CY34" i="28"/>
  <c r="CW34" i="28"/>
  <c r="CU34" i="28"/>
  <c r="CS34" i="28"/>
  <c r="CQ34" i="28"/>
  <c r="AG34" i="28"/>
  <c r="AE34" i="28"/>
  <c r="AC34" i="28"/>
  <c r="AA34" i="28"/>
  <c r="Y34" i="28"/>
  <c r="W34" i="28"/>
  <c r="U34" i="28"/>
  <c r="S34" i="28"/>
  <c r="Q34" i="28"/>
  <c r="N34" i="28"/>
  <c r="L34" i="28"/>
  <c r="J34" i="28"/>
  <c r="H34" i="28"/>
  <c r="F34" i="28"/>
  <c r="D34" i="28"/>
  <c r="DX34" i="28"/>
  <c r="DV34" i="28"/>
  <c r="DT34" i="28"/>
  <c r="DR34" i="28"/>
  <c r="DP34" i="28"/>
  <c r="DN34" i="28"/>
  <c r="DL34" i="28"/>
  <c r="DJ34" i="28"/>
  <c r="DF34" i="28"/>
  <c r="DD34" i="28"/>
  <c r="DB34" i="28"/>
  <c r="CZ34" i="28"/>
  <c r="CX34" i="28"/>
  <c r="CV34" i="28"/>
  <c r="CT34" i="28"/>
  <c r="CR34" i="28"/>
  <c r="CP34" i="28"/>
  <c r="AF34" i="28"/>
  <c r="AD34" i="28"/>
  <c r="AB34" i="28"/>
  <c r="Z34" i="28"/>
  <c r="X34" i="28"/>
  <c r="V34" i="28"/>
  <c r="T34" i="28"/>
  <c r="R34" i="28"/>
  <c r="O34" i="28"/>
  <c r="M34" i="28"/>
  <c r="K34" i="28"/>
  <c r="I34" i="28"/>
  <c r="G34" i="28"/>
  <c r="E34" i="28"/>
  <c r="C34" i="28"/>
  <c r="DY23" i="28"/>
  <c r="DW23" i="28"/>
  <c r="DU23" i="28"/>
  <c r="DS23" i="28"/>
  <c r="DQ23" i="28"/>
  <c r="DO23" i="28"/>
  <c r="DM23" i="28"/>
  <c r="DK23" i="28"/>
  <c r="DI23" i="28"/>
  <c r="DE23" i="28"/>
  <c r="DC23" i="28"/>
  <c r="DA23" i="28"/>
  <c r="CY23" i="28"/>
  <c r="CW23" i="28"/>
  <c r="CU23" i="28"/>
  <c r="CS23" i="28"/>
  <c r="CQ23" i="28"/>
  <c r="AG23" i="28"/>
  <c r="AE23" i="28"/>
  <c r="AC23" i="28"/>
  <c r="DX23" i="28"/>
  <c r="DV23" i="28"/>
  <c r="DT23" i="28"/>
  <c r="DR23" i="28"/>
  <c r="DP23" i="28"/>
  <c r="DN23" i="28"/>
  <c r="DL23" i="28"/>
  <c r="DJ23" i="28"/>
  <c r="DF23" i="28"/>
  <c r="DD23" i="28"/>
  <c r="DB23" i="28"/>
  <c r="CZ23" i="28"/>
  <c r="CX23" i="28"/>
  <c r="CV23" i="28"/>
  <c r="CT23" i="28"/>
  <c r="CR23" i="28"/>
  <c r="CP23" i="28"/>
  <c r="AF23" i="28"/>
  <c r="AD23" i="28"/>
  <c r="AB23" i="28"/>
  <c r="Z23" i="28"/>
  <c r="X23" i="28"/>
  <c r="V23" i="28"/>
  <c r="T23" i="28"/>
  <c r="R23" i="28"/>
  <c r="O23" i="28"/>
  <c r="M23" i="28"/>
  <c r="K23" i="28"/>
  <c r="I23" i="28"/>
  <c r="G23" i="28"/>
  <c r="E23" i="28"/>
  <c r="C23" i="28"/>
  <c r="D2" i="28"/>
  <c r="F2" i="28"/>
  <c r="H2" i="28"/>
  <c r="J2" i="28"/>
  <c r="L2" i="28"/>
  <c r="N2" i="28"/>
  <c r="Q2" i="28"/>
  <c r="S2" i="28"/>
  <c r="U2" i="28"/>
  <c r="W2" i="28"/>
  <c r="Y2" i="28"/>
  <c r="AA2" i="28"/>
  <c r="AC2" i="28"/>
  <c r="AE2" i="28"/>
  <c r="AG2" i="28"/>
  <c r="CQ2" i="28"/>
  <c r="CS2" i="28"/>
  <c r="CU2" i="28"/>
  <c r="CW2" i="28"/>
  <c r="CY2" i="28"/>
  <c r="DA2" i="28"/>
  <c r="DC2" i="28"/>
  <c r="DE2" i="28"/>
  <c r="DI2" i="28"/>
  <c r="DK2" i="28"/>
  <c r="DM2" i="28"/>
  <c r="DO2" i="28"/>
  <c r="DQ2" i="28"/>
  <c r="DS2" i="28"/>
  <c r="DU2" i="28"/>
  <c r="DW2" i="28"/>
  <c r="DY2" i="28"/>
  <c r="DB4" i="28"/>
  <c r="DB5" i="28"/>
  <c r="DB6" i="28"/>
  <c r="C9" i="28"/>
  <c r="E9" i="28"/>
  <c r="G9" i="28"/>
  <c r="I9" i="28"/>
  <c r="K9" i="28"/>
  <c r="M9" i="28"/>
  <c r="O9" i="28"/>
  <c r="R9" i="28"/>
  <c r="T9" i="28"/>
  <c r="V9" i="28"/>
  <c r="X9" i="28"/>
  <c r="Z9" i="28"/>
  <c r="AB9" i="28"/>
  <c r="AD9" i="28"/>
  <c r="AF9" i="28"/>
  <c r="CP9" i="28"/>
  <c r="CR9" i="28"/>
  <c r="CT9" i="28"/>
  <c r="CV9" i="28"/>
  <c r="CX9" i="28"/>
  <c r="CZ9" i="28"/>
  <c r="DB9" i="28"/>
  <c r="DD9" i="28"/>
  <c r="DF9" i="28"/>
  <c r="DJ9" i="28"/>
  <c r="DL9" i="28"/>
  <c r="DN9" i="28"/>
  <c r="DP9" i="28"/>
  <c r="DR9" i="28"/>
  <c r="DT9" i="28"/>
  <c r="DV9" i="28"/>
  <c r="DX9" i="28"/>
  <c r="DB10" i="28"/>
  <c r="DB11" i="28"/>
  <c r="C16" i="28"/>
  <c r="E16" i="28"/>
  <c r="G16" i="28"/>
  <c r="I16" i="28"/>
  <c r="K16" i="28"/>
  <c r="M16" i="28"/>
  <c r="O16" i="28"/>
  <c r="R16" i="28"/>
  <c r="T16" i="28"/>
  <c r="V16" i="28"/>
  <c r="X16" i="28"/>
  <c r="Z16" i="28"/>
  <c r="AB16" i="28"/>
  <c r="AD16" i="28"/>
  <c r="AF16" i="28"/>
  <c r="CP16" i="28"/>
  <c r="CR16" i="28"/>
  <c r="CT16" i="28"/>
  <c r="CV16" i="28"/>
  <c r="CX16" i="28"/>
  <c r="CZ16" i="28"/>
  <c r="DB16" i="28"/>
  <c r="DD16" i="28"/>
  <c r="DF16" i="28"/>
  <c r="DJ16" i="28"/>
  <c r="DL16" i="28"/>
  <c r="DN16" i="28"/>
  <c r="DP16" i="28"/>
  <c r="DR16" i="28"/>
  <c r="DT16" i="28"/>
  <c r="DV16" i="28"/>
  <c r="DX16" i="28"/>
  <c r="AC35" i="28"/>
  <c r="AC24" i="28"/>
  <c r="CQ35" i="28"/>
  <c r="CQ24" i="28"/>
  <c r="DJ24" i="28" s="1"/>
  <c r="CS35" i="28"/>
  <c r="CS24" i="28"/>
  <c r="CU35" i="28"/>
  <c r="CU24" i="28"/>
  <c r="CW35" i="28"/>
  <c r="CW24" i="28"/>
  <c r="CY35" i="28"/>
  <c r="CY24" i="28"/>
  <c r="DA35" i="28"/>
  <c r="DA24" i="28"/>
  <c r="DC18" i="28"/>
  <c r="DE35" i="28"/>
  <c r="DE24" i="28"/>
  <c r="AC36" i="28"/>
  <c r="AC25" i="28"/>
  <c r="CQ36" i="28"/>
  <c r="CQ25" i="28"/>
  <c r="DJ25" i="28" s="1"/>
  <c r="CS36" i="28"/>
  <c r="CS25" i="28"/>
  <c r="CU36" i="28"/>
  <c r="CU25" i="28"/>
  <c r="CW36" i="28"/>
  <c r="CW25" i="28"/>
  <c r="CY36" i="28"/>
  <c r="CY25" i="28"/>
  <c r="DA36" i="28"/>
  <c r="DA25" i="28"/>
  <c r="DC19" i="28"/>
  <c r="DC25" i="28" s="1"/>
  <c r="DV25" i="28" s="1"/>
  <c r="DE36" i="28"/>
  <c r="DE25" i="28"/>
  <c r="AC37" i="28"/>
  <c r="AC26" i="28"/>
  <c r="CQ37" i="28"/>
  <c r="CQ26" i="28"/>
  <c r="DJ26" i="28" s="1"/>
  <c r="CS37" i="28"/>
  <c r="CS26" i="28"/>
  <c r="CU37" i="28"/>
  <c r="CU26" i="28"/>
  <c r="CW37" i="28"/>
  <c r="CW26" i="28"/>
  <c r="CY37" i="28"/>
  <c r="CY26" i="28"/>
  <c r="DA37" i="28"/>
  <c r="DA26" i="28"/>
  <c r="DC20" i="28"/>
  <c r="DC26" i="28" s="1"/>
  <c r="DV26" i="28" s="1"/>
  <c r="DE37" i="28"/>
  <c r="DE26" i="28"/>
  <c r="CQ21" i="28"/>
  <c r="CU21" i="28"/>
  <c r="CY21" i="28"/>
  <c r="F23" i="28"/>
  <c r="J23" i="28"/>
  <c r="N23" i="28"/>
  <c r="S23" i="28"/>
  <c r="W23" i="28"/>
  <c r="AA23" i="28"/>
  <c r="C2" i="28"/>
  <c r="E2" i="28"/>
  <c r="G2" i="28"/>
  <c r="I2" i="28"/>
  <c r="K2" i="28"/>
  <c r="M2" i="28"/>
  <c r="O2" i="28"/>
  <c r="R2" i="28"/>
  <c r="T2" i="28"/>
  <c r="V2" i="28"/>
  <c r="X2" i="28"/>
  <c r="Z2" i="28"/>
  <c r="AB2" i="28"/>
  <c r="AD2" i="28"/>
  <c r="AF2" i="28"/>
  <c r="CP2" i="28"/>
  <c r="CR2" i="28"/>
  <c r="CT2" i="28"/>
  <c r="CV2" i="28"/>
  <c r="CX2" i="28"/>
  <c r="CZ2" i="28"/>
  <c r="DB2" i="28"/>
  <c r="DD2" i="28"/>
  <c r="DF2" i="28"/>
  <c r="DJ2" i="28"/>
  <c r="DL2" i="28"/>
  <c r="DN2" i="28"/>
  <c r="DP2" i="28"/>
  <c r="DR2" i="28"/>
  <c r="DT2" i="28"/>
  <c r="DV2" i="28"/>
  <c r="DX2" i="28"/>
  <c r="DC4" i="28"/>
  <c r="DC7" i="28" s="1"/>
  <c r="DE4" i="28"/>
  <c r="DI4" i="28"/>
  <c r="DK4" i="28"/>
  <c r="DM4" i="28"/>
  <c r="DO4" i="28"/>
  <c r="DQ4" i="28"/>
  <c r="DS4" i="28"/>
  <c r="DC5" i="28"/>
  <c r="DV5" i="28" s="1"/>
  <c r="DC6" i="28"/>
  <c r="DV6" i="28" s="1"/>
  <c r="D9" i="28"/>
  <c r="F9" i="28"/>
  <c r="H9" i="28"/>
  <c r="J9" i="28"/>
  <c r="L9" i="28"/>
  <c r="N9" i="28"/>
  <c r="Q9" i="28"/>
  <c r="S9" i="28"/>
  <c r="U9" i="28"/>
  <c r="W9" i="28"/>
  <c r="Y9" i="28"/>
  <c r="AA9" i="28"/>
  <c r="AC9" i="28"/>
  <c r="AE9" i="28"/>
  <c r="AG9" i="28"/>
  <c r="CQ9" i="28"/>
  <c r="CS9" i="28"/>
  <c r="CU9" i="28"/>
  <c r="CW9" i="28"/>
  <c r="CY9" i="28"/>
  <c r="DA9" i="28"/>
  <c r="DC9" i="28"/>
  <c r="DE9" i="28"/>
  <c r="DI9" i="28"/>
  <c r="DK9" i="28"/>
  <c r="DM9" i="28"/>
  <c r="DO9" i="28"/>
  <c r="DQ9" i="28"/>
  <c r="DS9" i="28"/>
  <c r="DU9" i="28"/>
  <c r="DW9" i="28"/>
  <c r="DY9" i="28"/>
  <c r="DC10" i="28"/>
  <c r="DI10" i="28"/>
  <c r="DK10" i="28"/>
  <c r="DM10" i="28"/>
  <c r="DM12" i="28"/>
  <c r="DO10" i="28"/>
  <c r="DQ10" i="28"/>
  <c r="DQ12" i="28"/>
  <c r="DS10" i="28"/>
  <c r="DW10" i="28"/>
  <c r="DW12" i="28"/>
  <c r="DY10" i="28"/>
  <c r="DC11" i="28"/>
  <c r="DV11" i="28" s="1"/>
  <c r="D16" i="28"/>
  <c r="F16" i="28"/>
  <c r="H16" i="28"/>
  <c r="J16" i="28"/>
  <c r="L16" i="28"/>
  <c r="N16" i="28"/>
  <c r="Q16" i="28"/>
  <c r="S16" i="28"/>
  <c r="U16" i="28"/>
  <c r="W16" i="28"/>
  <c r="Y16" i="28"/>
  <c r="AA16" i="28"/>
  <c r="AC16" i="28"/>
  <c r="AE16" i="28"/>
  <c r="AG16" i="28"/>
  <c r="CQ16" i="28"/>
  <c r="CS16" i="28"/>
  <c r="CU16" i="28"/>
  <c r="CW16" i="28"/>
  <c r="CY16" i="28"/>
  <c r="DA16" i="28"/>
  <c r="DC16" i="28"/>
  <c r="DE16" i="28"/>
  <c r="DI16" i="28"/>
  <c r="DK16" i="28"/>
  <c r="DM16" i="28"/>
  <c r="DO16" i="28"/>
  <c r="DQ16" i="28"/>
  <c r="DS16" i="28"/>
  <c r="DU16" i="28"/>
  <c r="DW16" i="28"/>
  <c r="DY16" i="28"/>
  <c r="O35" i="28"/>
  <c r="O24" i="28"/>
  <c r="CP35" i="28"/>
  <c r="DI35" i="28" s="1"/>
  <c r="CP24" i="28"/>
  <c r="DI24" i="28" s="1"/>
  <c r="CP21" i="28"/>
  <c r="CR35" i="28"/>
  <c r="CR24" i="28"/>
  <c r="DK24" i="28" s="1"/>
  <c r="CR21" i="28"/>
  <c r="CT35" i="28"/>
  <c r="CT24" i="28"/>
  <c r="CT21" i="28"/>
  <c r="CV35" i="28"/>
  <c r="CV24" i="28"/>
  <c r="CV21" i="28"/>
  <c r="CX35" i="28"/>
  <c r="CX24" i="28"/>
  <c r="CX21" i="28"/>
  <c r="CZ35" i="28"/>
  <c r="CZ24" i="28"/>
  <c r="CZ21" i="28"/>
  <c r="DB18" i="28"/>
  <c r="DD35" i="28"/>
  <c r="DD24" i="28"/>
  <c r="DD21" i="28"/>
  <c r="DF35" i="28"/>
  <c r="DF24" i="28"/>
  <c r="DF21" i="28"/>
  <c r="DJ18" i="28"/>
  <c r="DL18" i="28"/>
  <c r="DN18" i="28"/>
  <c r="DP18" i="28"/>
  <c r="DP21" i="28" s="1"/>
  <c r="DR18" i="28"/>
  <c r="DT18" i="28"/>
  <c r="DX18" i="28"/>
  <c r="O36" i="28"/>
  <c r="O25" i="28"/>
  <c r="AD25" i="28" s="1"/>
  <c r="CP36" i="28"/>
  <c r="CP25" i="28"/>
  <c r="DI25" i="28" s="1"/>
  <c r="CR36" i="28"/>
  <c r="CR25" i="28"/>
  <c r="DK25" i="28" s="1"/>
  <c r="CT36" i="28"/>
  <c r="CT25" i="28"/>
  <c r="CV36" i="28"/>
  <c r="CV25" i="28"/>
  <c r="CX36" i="28"/>
  <c r="CX25" i="28"/>
  <c r="CZ36" i="28"/>
  <c r="CZ25" i="28"/>
  <c r="DB19" i="28"/>
  <c r="DD36" i="28"/>
  <c r="DD25" i="28"/>
  <c r="DF36" i="28"/>
  <c r="DF25" i="28"/>
  <c r="DJ19" i="28"/>
  <c r="DL19" i="28"/>
  <c r="DL21" i="28" s="1"/>
  <c r="DN19" i="28"/>
  <c r="DP19" i="28"/>
  <c r="DR19" i="28"/>
  <c r="DT19" i="28"/>
  <c r="DX19" i="28"/>
  <c r="DX21" i="28" s="1"/>
  <c r="O37" i="28"/>
  <c r="O26" i="28"/>
  <c r="CP37" i="28"/>
  <c r="DI37" i="28" s="1"/>
  <c r="CP26" i="28"/>
  <c r="DI26" i="28" s="1"/>
  <c r="CR37" i="28"/>
  <c r="CR26" i="28"/>
  <c r="CT37" i="28"/>
  <c r="CT26" i="28"/>
  <c r="CV37" i="28"/>
  <c r="CV26" i="28"/>
  <c r="CX37" i="28"/>
  <c r="CX26" i="28"/>
  <c r="CZ37" i="28"/>
  <c r="CZ26" i="28"/>
  <c r="DB20" i="28"/>
  <c r="DB26" i="28" s="1"/>
  <c r="DD37" i="28"/>
  <c r="DD26" i="28"/>
  <c r="DF37" i="28"/>
  <c r="DF26" i="28"/>
  <c r="DJ20" i="28"/>
  <c r="DL20" i="28"/>
  <c r="DN20" i="28"/>
  <c r="DP20" i="28"/>
  <c r="DR20" i="28"/>
  <c r="DT20" i="28"/>
  <c r="DX20" i="28"/>
  <c r="AC21" i="28"/>
  <c r="CS21" i="28"/>
  <c r="CW21" i="28"/>
  <c r="DA21" i="28"/>
  <c r="DE21" i="28"/>
  <c r="D23" i="28"/>
  <c r="H23" i="28"/>
  <c r="L23" i="28"/>
  <c r="Q23" i="28"/>
  <c r="U23" i="28"/>
  <c r="Y23" i="28"/>
  <c r="E24" i="28"/>
  <c r="E25" i="28"/>
  <c r="E36" i="28" s="1"/>
  <c r="CP29" i="28"/>
  <c r="DI29" i="28" s="1"/>
  <c r="DI30" i="28"/>
  <c r="D41" i="28"/>
  <c r="DJ36" i="28"/>
  <c r="D37" i="28"/>
  <c r="D31" i="28"/>
  <c r="CQ31" i="28" s="1"/>
  <c r="DJ31" i="28" s="1"/>
  <c r="D29" i="28"/>
  <c r="D30" i="28"/>
  <c r="CQ30" i="28" s="1"/>
  <c r="CP40" i="28"/>
  <c r="DI40" i="28" s="1"/>
  <c r="C41" i="28"/>
  <c r="DI36" i="28"/>
  <c r="O37" i="25"/>
  <c r="E30" i="28"/>
  <c r="CR30" i="28" s="1"/>
  <c r="DK30" i="28" s="1"/>
  <c r="F25" i="28"/>
  <c r="G25" i="28" s="1"/>
  <c r="Q26" i="28"/>
  <c r="AD26" i="28"/>
  <c r="Q25" i="28"/>
  <c r="DN21" i="28"/>
  <c r="Q24" i="28"/>
  <c r="AD24" i="28"/>
  <c r="AD29" i="28" s="1"/>
  <c r="DI12" i="28"/>
  <c r="DX4" i="28"/>
  <c r="DC36" i="28"/>
  <c r="DV36" i="28" s="1"/>
  <c r="DV19" i="28"/>
  <c r="DC24" i="28"/>
  <c r="DV24" i="28" s="1"/>
  <c r="CP41" i="28"/>
  <c r="D32" i="28"/>
  <c r="CQ29" i="28"/>
  <c r="DJ29" i="28" s="1"/>
  <c r="CQ41" i="28"/>
  <c r="DJ41" i="28"/>
  <c r="E35" i="28"/>
  <c r="F24" i="28"/>
  <c r="E29" i="28"/>
  <c r="DB37" i="28"/>
  <c r="DB36" i="28"/>
  <c r="DB25" i="28"/>
  <c r="DT21" i="28"/>
  <c r="DB35" i="28"/>
  <c r="DB24" i="28"/>
  <c r="DC37" i="28"/>
  <c r="DV37" i="28" s="1"/>
  <c r="DV20" i="28"/>
  <c r="DL24" i="28"/>
  <c r="CR29" i="28"/>
  <c r="E40" i="28"/>
  <c r="DK35" i="28"/>
  <c r="DI41" i="28"/>
  <c r="AD35" i="28"/>
  <c r="AD40" i="28" s="1"/>
  <c r="AE24" i="28"/>
  <c r="AE35" i="28" s="1"/>
  <c r="AE40" i="28" s="1"/>
  <c r="DC41" i="28"/>
  <c r="DV41" i="28" s="1"/>
  <c r="DC30" i="28"/>
  <c r="DV30" i="28" s="1"/>
  <c r="AE25" i="28"/>
  <c r="AE36" i="28" s="1"/>
  <c r="AD37" i="28"/>
  <c r="AD42" i="28" s="1"/>
  <c r="DC42" i="28"/>
  <c r="DV42" i="28" s="1"/>
  <c r="AD31" i="28"/>
  <c r="DC31" i="28"/>
  <c r="DV31" i="28" s="1"/>
  <c r="AE26" i="28"/>
  <c r="F35" i="28"/>
  <c r="F40" i="28" s="1"/>
  <c r="CS40" i="28" s="1"/>
  <c r="F29" i="28"/>
  <c r="CS29" i="28" s="1"/>
  <c r="G24" i="28"/>
  <c r="Q35" i="28"/>
  <c r="Q40" i="28" s="1"/>
  <c r="Q29" i="28"/>
  <c r="R24" i="28"/>
  <c r="Q36" i="28"/>
  <c r="Q41" i="28" s="1"/>
  <c r="Q37" i="28"/>
  <c r="Q42" i="28" s="1"/>
  <c r="Q31" i="28"/>
  <c r="R26" i="28"/>
  <c r="R37" i="28"/>
  <c r="R42" i="28" s="1"/>
  <c r="R31" i="28"/>
  <c r="S26" i="28"/>
  <c r="R35" i="28"/>
  <c r="R40" i="28" s="1"/>
  <c r="S24" i="28"/>
  <c r="S35" i="28" s="1"/>
  <c r="S40" i="28" s="1"/>
  <c r="R29" i="28"/>
  <c r="AF25" i="28"/>
  <c r="AF36" i="28" s="1"/>
  <c r="DC29" i="28"/>
  <c r="DK40" i="28"/>
  <c r="CR40" i="28"/>
  <c r="G35" i="28"/>
  <c r="H24" i="28"/>
  <c r="DN24" i="28" s="1"/>
  <c r="G29" i="28"/>
  <c r="DM24" i="28"/>
  <c r="DL35" i="28"/>
  <c r="DC40" i="28"/>
  <c r="DV40" i="28" s="1"/>
  <c r="DV43" i="28" s="1"/>
  <c r="DK29" i="28"/>
  <c r="I24" i="28"/>
  <c r="I35" i="28" s="1"/>
  <c r="DO35" i="28" s="1"/>
  <c r="DL29" i="28"/>
  <c r="DL40" i="28"/>
  <c r="CT29" i="28"/>
  <c r="G40" i="28"/>
  <c r="DC32" i="28"/>
  <c r="DV29" i="28"/>
  <c r="DV32" i="28" s="1"/>
  <c r="S29" i="28"/>
  <c r="T24" i="28"/>
  <c r="S37" i="28"/>
  <c r="S42" i="28" s="1"/>
  <c r="S31" i="28"/>
  <c r="T26" i="28"/>
  <c r="T37" i="28" s="1"/>
  <c r="T42" i="28" s="1"/>
  <c r="T35" i="28"/>
  <c r="T40" i="28" s="1"/>
  <c r="CT40" i="28"/>
  <c r="DM40" i="28"/>
  <c r="J24" i="28"/>
  <c r="J29" i="28" s="1"/>
  <c r="CW29" i="28" s="1"/>
  <c r="DP29" i="28" s="1"/>
  <c r="DO24" i="28"/>
  <c r="T31" i="28"/>
  <c r="DM29" i="28"/>
  <c r="J35" i="28"/>
  <c r="DP35" i="28" s="1"/>
  <c r="K24" i="28"/>
  <c r="K35" i="28" s="1"/>
  <c r="DP24" i="28"/>
  <c r="K29" i="28"/>
  <c r="CX29" i="28" s="1"/>
  <c r="DQ24" i="28"/>
  <c r="J40" i="28"/>
  <c r="CW40" i="28"/>
  <c r="K40" i="28"/>
  <c r="AG25" i="28"/>
  <c r="AG30" i="28" s="1"/>
  <c r="DF30" i="28" s="1"/>
  <c r="DY30" i="28" s="1"/>
  <c r="DC43" i="28"/>
  <c r="DF17" i="7"/>
  <c r="DY17" i="7" s="1"/>
  <c r="CT7" i="7"/>
  <c r="DD25" i="7"/>
  <c r="DW25" i="7" s="1"/>
  <c r="D10" i="12"/>
  <c r="O7" i="18"/>
  <c r="AI462" i="5"/>
  <c r="AJ462" i="5" s="1"/>
  <c r="AK462" i="5" s="1"/>
  <c r="AL462" i="5" s="1"/>
  <c r="AM462" i="5" s="1"/>
  <c r="AN462" i="5" s="1"/>
  <c r="AO462" i="5" s="1"/>
  <c r="W6" i="5"/>
  <c r="DE6" i="7"/>
  <c r="DE10" i="7" s="1"/>
  <c r="Q455" i="5"/>
  <c r="R455" i="5" s="1"/>
  <c r="S455" i="5" s="1"/>
  <c r="DF16" i="7"/>
  <c r="DY16" i="7" s="1"/>
  <c r="DY36" i="7" s="1"/>
  <c r="DF22" i="7"/>
  <c r="DY22" i="7" s="1"/>
  <c r="DF29" i="7"/>
  <c r="DY29" i="7" s="1"/>
  <c r="DF25" i="7"/>
  <c r="DY25" i="7" s="1"/>
  <c r="E10" i="12"/>
  <c r="F10" i="12"/>
  <c r="DF24" i="7"/>
  <c r="DY24" i="7" s="1"/>
  <c r="CW10" i="7"/>
  <c r="G10" i="12"/>
  <c r="DF23" i="7"/>
  <c r="DY23" i="7" s="1"/>
  <c r="CS3" i="7"/>
  <c r="CS50" i="7" s="1"/>
  <c r="CU3" i="7"/>
  <c r="CU37" i="7" s="1"/>
  <c r="CT3" i="7"/>
  <c r="C11" i="12"/>
  <c r="O11" i="12" s="1"/>
  <c r="H10" i="12"/>
  <c r="AD7" i="18"/>
  <c r="D11" i="12"/>
  <c r="D23" i="12"/>
  <c r="C23" i="12"/>
  <c r="O23" i="12" s="1"/>
  <c r="E11" i="12"/>
  <c r="E23" i="12"/>
  <c r="I10" i="12"/>
  <c r="CY10" i="7"/>
  <c r="J10" i="12"/>
  <c r="CW3" i="7"/>
  <c r="CW37" i="7" s="1"/>
  <c r="CV3" i="7"/>
  <c r="CV50" i="7" s="1"/>
  <c r="K10" i="12"/>
  <c r="AE7" i="18"/>
  <c r="AF7" i="18"/>
  <c r="G11" i="12"/>
  <c r="G23" i="12"/>
  <c r="F11" i="12"/>
  <c r="AG7" i="18"/>
  <c r="L10" i="12"/>
  <c r="CX3" i="7"/>
  <c r="CX13" i="7" s="1"/>
  <c r="F23" i="12"/>
  <c r="DA3" i="7"/>
  <c r="DA13" i="7" s="1"/>
  <c r="M10" i="12"/>
  <c r="CY3" i="7"/>
  <c r="CY12" i="7" s="1"/>
  <c r="H11" i="12"/>
  <c r="H23" i="12"/>
  <c r="K11" i="12"/>
  <c r="K23" i="12"/>
  <c r="I11" i="12"/>
  <c r="N10" i="12"/>
  <c r="DC3" i="7"/>
  <c r="DC50" i="7" s="1"/>
  <c r="I23" i="12"/>
  <c r="CZ3" i="7"/>
  <c r="CZ13" i="7" s="1"/>
  <c r="O11" i="18"/>
  <c r="M23" i="12"/>
  <c r="J11" i="12"/>
  <c r="AD11" i="18"/>
  <c r="DB3" i="7"/>
  <c r="DB50" i="7" s="1"/>
  <c r="M11" i="12"/>
  <c r="J23" i="12"/>
  <c r="AE11" i="18"/>
  <c r="R11" i="12"/>
  <c r="L11" i="12"/>
  <c r="R23" i="12"/>
  <c r="AF11" i="18"/>
  <c r="L23" i="12"/>
  <c r="AG11" i="18"/>
  <c r="DD3" i="7"/>
  <c r="DD50" i="7" s="1"/>
  <c r="O21" i="25"/>
  <c r="N11" i="12"/>
  <c r="Q11" i="12"/>
  <c r="AC11" i="12" s="1"/>
  <c r="N23" i="12"/>
  <c r="G13" i="3"/>
  <c r="Q23" i="12"/>
  <c r="AC23" i="12" s="1"/>
  <c r="U11" i="12"/>
  <c r="U23" i="12"/>
  <c r="T23" i="12"/>
  <c r="T11" i="12"/>
  <c r="G14" i="3"/>
  <c r="S11" i="12"/>
  <c r="G15" i="3"/>
  <c r="S23" i="12"/>
  <c r="G16" i="3"/>
  <c r="W23" i="12"/>
  <c r="W11" i="12"/>
  <c r="G17" i="3"/>
  <c r="V11" i="12"/>
  <c r="Y11" i="12"/>
  <c r="G18" i="3"/>
  <c r="V23" i="12"/>
  <c r="AD13" i="18"/>
  <c r="Y23" i="12"/>
  <c r="Z23" i="12"/>
  <c r="Z11" i="12"/>
  <c r="G19" i="3"/>
  <c r="X11" i="12"/>
  <c r="DF8" i="7"/>
  <c r="DY8" i="7" s="1"/>
  <c r="DH10" i="7"/>
  <c r="DH3" i="7"/>
  <c r="DH13" i="7" s="1"/>
  <c r="G20" i="3"/>
  <c r="X23" i="12"/>
  <c r="AE21" i="25"/>
  <c r="AF21" i="25"/>
  <c r="DG3" i="7"/>
  <c r="DG50" i="7" s="1"/>
  <c r="G21" i="3"/>
  <c r="AA11" i="12"/>
  <c r="AE38" i="25"/>
  <c r="AE11" i="12"/>
  <c r="AE23" i="12"/>
  <c r="AF11" i="12"/>
  <c r="AF23" i="12"/>
  <c r="G22" i="3"/>
  <c r="AA23" i="12"/>
  <c r="DF46" i="7"/>
  <c r="AG21" i="25"/>
  <c r="DI3" i="7"/>
  <c r="DI50" i="7" s="1"/>
  <c r="G24" i="3"/>
  <c r="G23" i="3"/>
  <c r="DF3" i="7"/>
  <c r="DF13" i="7" s="1"/>
  <c r="DY13" i="7" s="1"/>
  <c r="AD4" i="18"/>
  <c r="AG11" i="12"/>
  <c r="AG23" i="12"/>
  <c r="AC21" i="25"/>
  <c r="AB11" i="12"/>
  <c r="AD21" i="25"/>
  <c r="AD3" i="18"/>
  <c r="AD6" i="18" s="1"/>
  <c r="AE3" i="25"/>
  <c r="AB23" i="12"/>
  <c r="AD23" i="12"/>
  <c r="AD11" i="12"/>
  <c r="AD5" i="18"/>
  <c r="AD12" i="18"/>
  <c r="DF47" i="7"/>
  <c r="DY47" i="7" s="1"/>
  <c r="AD9" i="18"/>
  <c r="AE22" i="12"/>
  <c r="AD22" i="12"/>
  <c r="O40" i="25"/>
  <c r="AF22" i="12"/>
  <c r="AG22" i="12"/>
  <c r="AF40" i="25"/>
  <c r="AG40" i="25"/>
  <c r="AD40" i="25"/>
  <c r="AE40" i="25"/>
  <c r="AC40" i="25"/>
  <c r="O28" i="25"/>
  <c r="O44" i="25"/>
  <c r="O33" i="25"/>
  <c r="O55" i="25"/>
  <c r="AD10" i="18"/>
  <c r="AC55" i="25"/>
  <c r="AC33" i="25"/>
  <c r="AC44" i="25"/>
  <c r="AC28" i="25"/>
  <c r="AE33" i="25"/>
  <c r="AE28" i="25"/>
  <c r="AE55" i="25"/>
  <c r="AE44" i="25"/>
  <c r="AF44" i="25"/>
  <c r="AF28" i="25"/>
  <c r="AF33" i="25"/>
  <c r="AF55" i="25"/>
  <c r="AD33" i="25"/>
  <c r="AD28" i="25"/>
  <c r="AD44" i="25"/>
  <c r="AD55" i="25"/>
  <c r="AG28" i="25"/>
  <c r="AG33" i="25"/>
  <c r="AG55" i="25"/>
  <c r="AG44" i="25"/>
  <c r="T19" i="5"/>
  <c r="W152" i="5"/>
  <c r="W154" i="5" s="1"/>
  <c r="W146" i="5"/>
  <c r="W148" i="5" s="1"/>
  <c r="V148" i="5"/>
  <c r="AI460" i="5"/>
  <c r="AJ460" i="5" s="1"/>
  <c r="AK460" i="5" s="1"/>
  <c r="AL460" i="5" s="1"/>
  <c r="AM460" i="5" s="1"/>
  <c r="AN460" i="5" s="1"/>
  <c r="AO460" i="5" s="1"/>
  <c r="O7" i="5"/>
  <c r="P7" i="5"/>
  <c r="Q7" i="5"/>
  <c r="R7" i="5"/>
  <c r="S7" i="5"/>
  <c r="DW25" i="28"/>
  <c r="AF30" i="28"/>
  <c r="DE30" i="28" s="1"/>
  <c r="DX30" i="28" s="1"/>
  <c r="DW24" i="28"/>
  <c r="AE29" i="28"/>
  <c r="AE30" i="28"/>
  <c r="DD30" i="28" s="1"/>
  <c r="DW30" i="28" s="1"/>
  <c r="O10" i="3"/>
  <c r="DI37" i="7"/>
  <c r="V409" i="5"/>
  <c r="V412" i="5" s="1"/>
  <c r="X409" i="5"/>
  <c r="Z409" i="5"/>
  <c r="AB409" i="5"/>
  <c r="AD409" i="5"/>
  <c r="AF409" i="5"/>
  <c r="T418" i="5"/>
  <c r="V416" i="5"/>
  <c r="T417" i="5"/>
  <c r="AG423" i="5"/>
  <c r="T391" i="5"/>
  <c r="V389" i="5"/>
  <c r="V391" i="5" s="1"/>
  <c r="T390" i="5"/>
  <c r="AG396" i="5"/>
  <c r="V355" i="5"/>
  <c r="V358" i="5" s="1"/>
  <c r="X355" i="5"/>
  <c r="X358" i="5" s="1"/>
  <c r="Z355" i="5"/>
  <c r="Z358" i="5" s="1"/>
  <c r="AB355" i="5"/>
  <c r="AD355" i="5"/>
  <c r="AF355" i="5"/>
  <c r="T364" i="5"/>
  <c r="V362" i="5"/>
  <c r="T363" i="5"/>
  <c r="W368" i="5"/>
  <c r="W370" i="5" s="1"/>
  <c r="AG369" i="5"/>
  <c r="Z330" i="5"/>
  <c r="AA330" i="5" s="1"/>
  <c r="AB330" i="5" s="1"/>
  <c r="AF328" i="5"/>
  <c r="AD328" i="5"/>
  <c r="AD331" i="5" s="1"/>
  <c r="AB328" i="5"/>
  <c r="AB331" i="5" s="1"/>
  <c r="Z328" i="5"/>
  <c r="X328" i="5"/>
  <c r="X331" i="5" s="1"/>
  <c r="V328" i="5"/>
  <c r="V331" i="5" s="1"/>
  <c r="T337" i="5"/>
  <c r="W335" i="5"/>
  <c r="X335" i="5"/>
  <c r="Y335" i="5" s="1"/>
  <c r="V341" i="5"/>
  <c r="T336" i="5"/>
  <c r="T343" i="5"/>
  <c r="V301" i="5"/>
  <c r="V304" i="5" s="1"/>
  <c r="X301" i="5"/>
  <c r="X304" i="5" s="1"/>
  <c r="Z301" i="5"/>
  <c r="AB301" i="5"/>
  <c r="AD301" i="5"/>
  <c r="AF301" i="5"/>
  <c r="T310" i="5"/>
  <c r="W316" i="5"/>
  <c r="X314" i="5"/>
  <c r="Y314" i="5" s="1"/>
  <c r="Z314" i="5" s="1"/>
  <c r="V308" i="5"/>
  <c r="V310" i="5" s="1"/>
  <c r="U310" i="5"/>
  <c r="T316" i="5"/>
  <c r="T315" i="5"/>
  <c r="V316" i="5"/>
  <c r="T309" i="5"/>
  <c r="AG315" i="5"/>
  <c r="AF274" i="5"/>
  <c r="AD274" i="5"/>
  <c r="AB274" i="5"/>
  <c r="Z274" i="5"/>
  <c r="X274" i="5"/>
  <c r="V274" i="5"/>
  <c r="V277" i="5" s="1"/>
  <c r="V279" i="5" s="1"/>
  <c r="T283" i="5"/>
  <c r="W281" i="5"/>
  <c r="V287" i="5"/>
  <c r="W287" i="5" s="1"/>
  <c r="T282" i="5"/>
  <c r="AF247" i="5"/>
  <c r="AD247" i="5"/>
  <c r="AB247" i="5"/>
  <c r="Z247" i="5"/>
  <c r="X247" i="5"/>
  <c r="V247" i="5"/>
  <c r="V250" i="5" s="1"/>
  <c r="V260" i="5"/>
  <c r="W260" i="5" s="1"/>
  <c r="T255" i="5"/>
  <c r="T262" i="5"/>
  <c r="V220" i="5"/>
  <c r="X220" i="5"/>
  <c r="Z220" i="5"/>
  <c r="AB220" i="5"/>
  <c r="AD220" i="5"/>
  <c r="AF220" i="5"/>
  <c r="T235" i="5"/>
  <c r="V233" i="5"/>
  <c r="W233" i="5" s="1"/>
  <c r="V193" i="5"/>
  <c r="X193" i="5"/>
  <c r="Z193" i="5"/>
  <c r="AB193" i="5"/>
  <c r="AD193" i="5"/>
  <c r="AF193" i="5"/>
  <c r="V206" i="5"/>
  <c r="V208" i="5" s="1"/>
  <c r="T207" i="5"/>
  <c r="V166" i="5"/>
  <c r="V169" i="5" s="1"/>
  <c r="X166" i="5"/>
  <c r="Z166" i="5"/>
  <c r="AB166" i="5"/>
  <c r="AD166" i="5"/>
  <c r="AF166" i="5"/>
  <c r="W179" i="5"/>
  <c r="X179" i="5" s="1"/>
  <c r="T181" i="5"/>
  <c r="U4" i="5"/>
  <c r="U7" i="5" s="1"/>
  <c r="W4" i="5"/>
  <c r="W7" i="5" s="1"/>
  <c r="Y4" i="5"/>
  <c r="AA4" i="5"/>
  <c r="AC4" i="5"/>
  <c r="AE4" i="5"/>
  <c r="V4" i="5"/>
  <c r="V7" i="5" s="1"/>
  <c r="X4" i="5"/>
  <c r="Z4" i="5"/>
  <c r="AB4" i="5"/>
  <c r="AD4" i="5"/>
  <c r="DH50" i="7"/>
  <c r="CV19" i="7"/>
  <c r="DO19" i="7" s="1"/>
  <c r="DH22" i="7"/>
  <c r="EA22" i="7" s="1"/>
  <c r="W389" i="5"/>
  <c r="T397" i="5"/>
  <c r="X368" i="5"/>
  <c r="W362" i="5"/>
  <c r="V364" i="5"/>
  <c r="T370" i="5"/>
  <c r="W337" i="5"/>
  <c r="W308" i="5"/>
  <c r="X316" i="5"/>
  <c r="X281" i="5"/>
  <c r="Y281" i="5" s="1"/>
  <c r="Z281" i="5" s="1"/>
  <c r="W283" i="5"/>
  <c r="AI274" i="5"/>
  <c r="AI247" i="5"/>
  <c r="V235" i="5"/>
  <c r="T208" i="5"/>
  <c r="W364" i="5"/>
  <c r="X362" i="5"/>
  <c r="Y362" i="5" s="1"/>
  <c r="X283" i="5"/>
  <c r="X364" i="5"/>
  <c r="O61" i="5"/>
  <c r="P61" i="5"/>
  <c r="Q61" i="5"/>
  <c r="T61" i="5" s="1"/>
  <c r="R61" i="5"/>
  <c r="S61" i="5"/>
  <c r="U61" i="5"/>
  <c r="DG29" i="7"/>
  <c r="DZ29" i="7" s="1"/>
  <c r="DF50" i="7"/>
  <c r="AG18" i="5"/>
  <c r="AG66" i="5"/>
  <c r="U94" i="5"/>
  <c r="U148" i="5"/>
  <c r="W85" i="5"/>
  <c r="AE85" i="5"/>
  <c r="W112" i="5"/>
  <c r="AA112" i="5"/>
  <c r="AE112" i="5"/>
  <c r="U139" i="5"/>
  <c r="U142" i="5" s="1"/>
  <c r="AC139" i="5"/>
  <c r="W166" i="5"/>
  <c r="AA166" i="5"/>
  <c r="AE166" i="5"/>
  <c r="U175" i="5"/>
  <c r="V181" i="5"/>
  <c r="W193" i="5"/>
  <c r="AA193" i="5"/>
  <c r="AE193" i="5"/>
  <c r="U202" i="5"/>
  <c r="AG207" i="5"/>
  <c r="AG234" i="5"/>
  <c r="U247" i="5"/>
  <c r="U250" i="5" s="1"/>
  <c r="AG261" i="5"/>
  <c r="Y274" i="5"/>
  <c r="V283" i="5"/>
  <c r="AG282" i="5"/>
  <c r="T288" i="5"/>
  <c r="AG288" i="5"/>
  <c r="W301" i="5"/>
  <c r="W304" i="5" s="1"/>
  <c r="AE301" i="5"/>
  <c r="AG309" i="5"/>
  <c r="U316" i="5"/>
  <c r="T396" i="5"/>
  <c r="U409" i="5"/>
  <c r="U412" i="5" s="1"/>
  <c r="Y409" i="5"/>
  <c r="AC409" i="5"/>
  <c r="AD382" i="5"/>
  <c r="AF382" i="5"/>
  <c r="S87" i="5"/>
  <c r="T87" i="5" s="1"/>
  <c r="X6" i="5"/>
  <c r="AG12" i="5"/>
  <c r="AG72" i="5"/>
  <c r="T99" i="5"/>
  <c r="AG99" i="5"/>
  <c r="AG120" i="5"/>
  <c r="T153" i="5"/>
  <c r="AG153" i="5"/>
  <c r="U85" i="5"/>
  <c r="U88" i="5" s="1"/>
  <c r="Y85" i="5"/>
  <c r="AC85" i="5"/>
  <c r="AC88" i="5" s="1"/>
  <c r="W139" i="5"/>
  <c r="AA139" i="5"/>
  <c r="AA142" i="5" s="1"/>
  <c r="AE139" i="5"/>
  <c r="T175" i="5"/>
  <c r="AG174" i="5"/>
  <c r="T180" i="5"/>
  <c r="AG180" i="5"/>
  <c r="T201" i="5"/>
  <c r="AG201" i="5"/>
  <c r="W220" i="5"/>
  <c r="AE247" i="5"/>
  <c r="AA247" i="5"/>
  <c r="W247" i="5"/>
  <c r="W250" i="5" s="1"/>
  <c r="AI220" i="5"/>
  <c r="AE220" i="5"/>
  <c r="AA220" i="5"/>
  <c r="V254" i="5"/>
  <c r="W254" i="5" s="1"/>
  <c r="U256" i="5"/>
  <c r="AC274" i="5"/>
  <c r="U301" i="5"/>
  <c r="U304" i="5" s="1"/>
  <c r="Y301" i="5"/>
  <c r="AC301" i="5"/>
  <c r="AC328" i="5"/>
  <c r="AC331" i="5" s="1"/>
  <c r="T369" i="5"/>
  <c r="AG390" i="5"/>
  <c r="U397" i="5"/>
  <c r="AG417" i="5"/>
  <c r="U424" i="5"/>
  <c r="AC330" i="5"/>
  <c r="T100" i="5"/>
  <c r="W92" i="5"/>
  <c r="X92" i="5" s="1"/>
  <c r="V94" i="5"/>
  <c r="W125" i="5"/>
  <c r="W127" i="5" s="1"/>
  <c r="V127" i="5"/>
  <c r="T154" i="5"/>
  <c r="W98" i="5"/>
  <c r="X98" i="5" s="1"/>
  <c r="X100" i="5" s="1"/>
  <c r="V100" i="5"/>
  <c r="T148" i="5"/>
  <c r="U100" i="5"/>
  <c r="U127" i="5"/>
  <c r="V85" i="5"/>
  <c r="V88" i="5" s="1"/>
  <c r="X85" i="5"/>
  <c r="Z85" i="5"/>
  <c r="AB85" i="5"/>
  <c r="AD85" i="5"/>
  <c r="AD88" i="5" s="1"/>
  <c r="V112" i="5"/>
  <c r="X112" i="5"/>
  <c r="Z112" i="5"/>
  <c r="AB112" i="5"/>
  <c r="AD112" i="5"/>
  <c r="AF112" i="5"/>
  <c r="V139" i="5"/>
  <c r="X139" i="5"/>
  <c r="Z139" i="5"/>
  <c r="AB139" i="5"/>
  <c r="AB142" i="5" s="1"/>
  <c r="AD139" i="5"/>
  <c r="AF139" i="5"/>
  <c r="V173" i="5"/>
  <c r="X303" i="5"/>
  <c r="Y303" i="5" s="1"/>
  <c r="U17" i="5"/>
  <c r="U44" i="5" s="1"/>
  <c r="U46" i="5" s="1"/>
  <c r="U229" i="5"/>
  <c r="T228" i="5"/>
  <c r="T234" i="5"/>
  <c r="T261" i="5"/>
  <c r="U274" i="5"/>
  <c r="U277" i="5" s="1"/>
  <c r="W274" i="5"/>
  <c r="W277" i="5" s="1"/>
  <c r="AA274" i="5"/>
  <c r="U283" i="5"/>
  <c r="AB357" i="5"/>
  <c r="AA384" i="5"/>
  <c r="U328" i="5"/>
  <c r="U331" i="5" s="1"/>
  <c r="W328" i="5"/>
  <c r="W331" i="5" s="1"/>
  <c r="AA328" i="5"/>
  <c r="AA331" i="5" s="1"/>
  <c r="U337" i="5"/>
  <c r="U370" i="5"/>
  <c r="X411" i="5"/>
  <c r="CT22" i="7"/>
  <c r="DM22" i="7" s="1"/>
  <c r="F19" i="30"/>
  <c r="DH29" i="7"/>
  <c r="EA29" i="7" s="1"/>
  <c r="V256" i="5"/>
  <c r="AB384" i="5"/>
  <c r="AC384" i="5" s="1"/>
  <c r="AD384" i="5" s="1"/>
  <c r="AE384" i="5" s="1"/>
  <c r="U67" i="5"/>
  <c r="T94" i="5"/>
  <c r="W94" i="5"/>
  <c r="V175" i="5"/>
  <c r="W173" i="5"/>
  <c r="W175" i="5" s="1"/>
  <c r="W100" i="5"/>
  <c r="AD330" i="5"/>
  <c r="AE330" i="5" s="1"/>
  <c r="AF330" i="5" s="1"/>
  <c r="CT26" i="7"/>
  <c r="DM26" i="7" s="1"/>
  <c r="CS26" i="7"/>
  <c r="DL26" i="7" s="1"/>
  <c r="V73" i="5"/>
  <c r="V397" i="5"/>
  <c r="W395" i="5"/>
  <c r="W397" i="5" s="1"/>
  <c r="U73" i="5"/>
  <c r="Z331" i="5"/>
  <c r="W168" i="5"/>
  <c r="U181" i="5"/>
  <c r="U235" i="5"/>
  <c r="Y382" i="5"/>
  <c r="Y385" i="5" s="1"/>
  <c r="U391" i="5"/>
  <c r="V424" i="5"/>
  <c r="W422" i="5"/>
  <c r="Y166" i="5"/>
  <c r="AG255" i="5"/>
  <c r="Y328" i="5"/>
  <c r="Y331" i="5"/>
  <c r="U343" i="5"/>
  <c r="AG363" i="5"/>
  <c r="W382" i="5"/>
  <c r="W385" i="5"/>
  <c r="AB382" i="5"/>
  <c r="AB385" i="5" s="1"/>
  <c r="W409" i="5"/>
  <c r="W412" i="5"/>
  <c r="U418" i="5"/>
  <c r="X152" i="5"/>
  <c r="X154" i="5" s="1"/>
  <c r="AC357" i="5"/>
  <c r="AD357" i="5"/>
  <c r="AE357" i="5" s="1"/>
  <c r="AB358" i="5"/>
  <c r="Y152" i="5"/>
  <c r="Z152" i="5" s="1"/>
  <c r="CX50" i="7"/>
  <c r="DE7" i="7"/>
  <c r="DM7" i="7"/>
  <c r="S88" i="5"/>
  <c r="S90" i="5" s="1"/>
  <c r="Y283" i="5"/>
  <c r="Y316" i="5"/>
  <c r="DG37" i="7"/>
  <c r="CY13" i="7"/>
  <c r="N87" i="5"/>
  <c r="N114" i="5" s="1"/>
  <c r="N61" i="5"/>
  <c r="AG93" i="5"/>
  <c r="T147" i="5"/>
  <c r="AG147" i="5"/>
  <c r="U166" i="5"/>
  <c r="U169" i="5" s="1"/>
  <c r="AC166" i="5"/>
  <c r="T174" i="5"/>
  <c r="U355" i="5"/>
  <c r="U358" i="5" s="1"/>
  <c r="Y355" i="5"/>
  <c r="Y358" i="5" s="1"/>
  <c r="AE355" i="5"/>
  <c r="AE409" i="5"/>
  <c r="Y220" i="5"/>
  <c r="Z283" i="5"/>
  <c r="AA281" i="5"/>
  <c r="AB281" i="5" s="1"/>
  <c r="N88" i="5"/>
  <c r="N90" i="5" s="1"/>
  <c r="R114" i="5"/>
  <c r="R88" i="5"/>
  <c r="Y364" i="5"/>
  <c r="Z362" i="5"/>
  <c r="T93" i="5"/>
  <c r="AA301" i="5"/>
  <c r="T342" i="5"/>
  <c r="V382" i="5"/>
  <c r="V385" i="5"/>
  <c r="X382" i="5"/>
  <c r="X385" i="5" s="1"/>
  <c r="Z382" i="5"/>
  <c r="Z385" i="5"/>
  <c r="AE382" i="5"/>
  <c r="W114" i="5"/>
  <c r="V114" i="5"/>
  <c r="V141" i="5" s="1"/>
  <c r="V142" i="5" s="1"/>
  <c r="AC114" i="5"/>
  <c r="AI409" i="5"/>
  <c r="AA409" i="5"/>
  <c r="AI382" i="5"/>
  <c r="AJ382" i="5" s="1"/>
  <c r="AK382" i="5" s="1"/>
  <c r="AL382" i="5" s="1"/>
  <c r="AM382" i="5" s="1"/>
  <c r="AN382" i="5" s="1"/>
  <c r="AO382" i="5" s="1"/>
  <c r="AA382" i="5"/>
  <c r="AA385" i="5" s="1"/>
  <c r="AC382" i="5"/>
  <c r="AC355" i="5"/>
  <c r="AC358" i="5" s="1"/>
  <c r="AI301" i="5"/>
  <c r="AJ301" i="5" s="1"/>
  <c r="AK301" i="5" s="1"/>
  <c r="AL301" i="5" s="1"/>
  <c r="AM301" i="5" s="1"/>
  <c r="AN301" i="5" s="1"/>
  <c r="AO301" i="5" s="1"/>
  <c r="AJ274" i="5"/>
  <c r="AK274" i="5" s="1"/>
  <c r="AL274" i="5" s="1"/>
  <c r="AM274" i="5" s="1"/>
  <c r="AN274" i="5" s="1"/>
  <c r="AO274" i="5" s="1"/>
  <c r="Y247" i="5"/>
  <c r="AJ220" i="5"/>
  <c r="U220" i="5"/>
  <c r="U223" i="5" s="1"/>
  <c r="Y112" i="5"/>
  <c r="U193" i="5"/>
  <c r="U196" i="5" s="1"/>
  <c r="Y193" i="5"/>
  <c r="AC193" i="5"/>
  <c r="AI193" i="5"/>
  <c r="AJ193" i="5" s="1"/>
  <c r="AK193" i="5" s="1"/>
  <c r="AL193" i="5" s="1"/>
  <c r="AM193" i="5" s="1"/>
  <c r="AN193" i="5" s="1"/>
  <c r="AO193" i="5" s="1"/>
  <c r="AI166" i="5"/>
  <c r="AI169" i="5" s="1"/>
  <c r="AI139" i="5"/>
  <c r="AJ139" i="5" s="1"/>
  <c r="AK139" i="5" s="1"/>
  <c r="AL139" i="5" s="1"/>
  <c r="AM139" i="5" s="1"/>
  <c r="AN139" i="5" s="1"/>
  <c r="AO139" i="5" s="1"/>
  <c r="Y139" i="5"/>
  <c r="AI112" i="5"/>
  <c r="U112" i="5"/>
  <c r="U115" i="5" s="1"/>
  <c r="U117" i="5" s="1"/>
  <c r="AC112" i="5"/>
  <c r="W88" i="5"/>
  <c r="AF85" i="5"/>
  <c r="X114" i="5"/>
  <c r="X395" i="5"/>
  <c r="W73" i="5"/>
  <c r="Y154" i="5"/>
  <c r="V115" i="5"/>
  <c r="AD114" i="5"/>
  <c r="R141" i="5"/>
  <c r="R142" i="5" s="1"/>
  <c r="R144" i="5" s="1"/>
  <c r="R115" i="5"/>
  <c r="R117" i="5" s="1"/>
  <c r="AK220" i="5"/>
  <c r="AL220" i="5" s="1"/>
  <c r="AM220" i="5" s="1"/>
  <c r="AN220" i="5" s="1"/>
  <c r="AO220" i="5" s="1"/>
  <c r="Y114" i="5"/>
  <c r="X88" i="5"/>
  <c r="X73" i="5"/>
  <c r="N52" i="5"/>
  <c r="AF114" i="5"/>
  <c r="AF141" i="5" s="1"/>
  <c r="AE114" i="5"/>
  <c r="Z114" i="5"/>
  <c r="Y88" i="5"/>
  <c r="Y73" i="5"/>
  <c r="O25" i="5"/>
  <c r="N160" i="5"/>
  <c r="N133" i="5"/>
  <c r="N106" i="5"/>
  <c r="N403" i="5"/>
  <c r="N349" i="5"/>
  <c r="N214" i="5"/>
  <c r="N268" i="5"/>
  <c r="N187" i="5"/>
  <c r="N79" i="5"/>
  <c r="N430" i="5"/>
  <c r="N376" i="5"/>
  <c r="N322" i="5"/>
  <c r="N295" i="5"/>
  <c r="N241" i="5"/>
  <c r="N392" i="5"/>
  <c r="N393" i="5" s="1"/>
  <c r="N398" i="5"/>
  <c r="N399" i="5" s="1"/>
  <c r="Z88" i="5"/>
  <c r="Z73" i="5"/>
  <c r="O376" i="5"/>
  <c r="N128" i="5"/>
  <c r="N129" i="5" s="1"/>
  <c r="N122" i="5"/>
  <c r="N371" i="5"/>
  <c r="N372" i="5" s="1"/>
  <c r="N365" i="5"/>
  <c r="N366" i="5" s="1"/>
  <c r="N155" i="5"/>
  <c r="N156" i="5" s="1"/>
  <c r="N149" i="5"/>
  <c r="O398" i="5"/>
  <c r="O399" i="5" s="1"/>
  <c r="O392" i="5"/>
  <c r="N425" i="5"/>
  <c r="N419" i="5"/>
  <c r="N420" i="5" s="1"/>
  <c r="N290" i="5"/>
  <c r="N291" i="5" s="1"/>
  <c r="N284" i="5"/>
  <c r="N285" i="5" s="1"/>
  <c r="N150" i="5"/>
  <c r="AA115" i="5"/>
  <c r="AA73" i="5"/>
  <c r="O155" i="5"/>
  <c r="O156" i="5" s="1"/>
  <c r="T156" i="5" s="1"/>
  <c r="O149" i="5"/>
  <c r="P398" i="5"/>
  <c r="P399" i="5" s="1"/>
  <c r="P392" i="5"/>
  <c r="N101" i="5"/>
  <c r="N102" i="5" s="1"/>
  <c r="N95" i="5"/>
  <c r="N96" i="5" s="1"/>
  <c r="N176" i="5"/>
  <c r="N177" i="5" s="1"/>
  <c r="O128" i="5"/>
  <c r="O129" i="5" s="1"/>
  <c r="O122" i="5"/>
  <c r="O123" i="5" s="1"/>
  <c r="O290" i="5"/>
  <c r="O284" i="5"/>
  <c r="N344" i="5"/>
  <c r="N345" i="5" s="1"/>
  <c r="N338" i="5"/>
  <c r="N339" i="5" s="1"/>
  <c r="O425" i="5"/>
  <c r="O426" i="5" s="1"/>
  <c r="O419" i="5"/>
  <c r="O420" i="5" s="1"/>
  <c r="O251" i="5"/>
  <c r="N263" i="5"/>
  <c r="N264" i="5" s="1"/>
  <c r="N257" i="5"/>
  <c r="N258" i="5"/>
  <c r="N209" i="5"/>
  <c r="N210" i="5" s="1"/>
  <c r="N203" i="5"/>
  <c r="N204" i="5" s="1"/>
  <c r="O371" i="5"/>
  <c r="O372" i="5" s="1"/>
  <c r="O365" i="5"/>
  <c r="O366" i="5" s="1"/>
  <c r="O393" i="5"/>
  <c r="Q392" i="5"/>
  <c r="Q393" i="5" s="1"/>
  <c r="O291" i="5"/>
  <c r="O285" i="5"/>
  <c r="O150" i="5"/>
  <c r="AB115" i="5"/>
  <c r="AB88" i="5"/>
  <c r="AB73" i="5"/>
  <c r="P128" i="5"/>
  <c r="P122" i="5"/>
  <c r="Q398" i="5"/>
  <c r="P371" i="5"/>
  <c r="P372" i="5" s="1"/>
  <c r="P365" i="5"/>
  <c r="P366" i="5" s="1"/>
  <c r="O344" i="5"/>
  <c r="O345" i="5" s="1"/>
  <c r="O338" i="5"/>
  <c r="O339" i="5" s="1"/>
  <c r="O95" i="5"/>
  <c r="O96" i="5" s="1"/>
  <c r="O101" i="5"/>
  <c r="O102" i="5" s="1"/>
  <c r="P155" i="5"/>
  <c r="P149" i="5"/>
  <c r="P150" i="5" s="1"/>
  <c r="T150" i="5" s="1"/>
  <c r="O209" i="5"/>
  <c r="O210" i="5" s="1"/>
  <c r="O203" i="5"/>
  <c r="O204" i="5" s="1"/>
  <c r="P425" i="5"/>
  <c r="P426" i="5" s="1"/>
  <c r="P419" i="5"/>
  <c r="P420" i="5" s="1"/>
  <c r="P284" i="5"/>
  <c r="P290" i="5"/>
  <c r="P291" i="5" s="1"/>
  <c r="O176" i="5"/>
  <c r="O177" i="5" s="1"/>
  <c r="P393" i="5"/>
  <c r="R398" i="5"/>
  <c r="R399" i="5" s="1"/>
  <c r="P285" i="5"/>
  <c r="P156" i="5"/>
  <c r="P123" i="5"/>
  <c r="AC73" i="5"/>
  <c r="R392" i="5"/>
  <c r="R393" i="5" s="1"/>
  <c r="Q290" i="5"/>
  <c r="Q284" i="5"/>
  <c r="Q285" i="5" s="1"/>
  <c r="Q425" i="5"/>
  <c r="Q419" i="5"/>
  <c r="Q420" i="5" s="1"/>
  <c r="P101" i="5"/>
  <c r="P102" i="5" s="1"/>
  <c r="P95" i="5"/>
  <c r="P96" i="5" s="1"/>
  <c r="P344" i="5"/>
  <c r="P345" i="5" s="1"/>
  <c r="P338" i="5"/>
  <c r="P339" i="5" s="1"/>
  <c r="Q128" i="5"/>
  <c r="Q122" i="5"/>
  <c r="Q123" i="5" s="1"/>
  <c r="Q155" i="5"/>
  <c r="Q156" i="5" s="1"/>
  <c r="Q149" i="5"/>
  <c r="Q150" i="5" s="1"/>
  <c r="P176" i="5"/>
  <c r="P177" i="5" s="1"/>
  <c r="P203" i="5"/>
  <c r="P204" i="5" s="1"/>
  <c r="P209" i="5"/>
  <c r="P210" i="5" s="1"/>
  <c r="Q371" i="5"/>
  <c r="Q372" i="5" s="1"/>
  <c r="Q365" i="5"/>
  <c r="Q366" i="5" s="1"/>
  <c r="Q426" i="5"/>
  <c r="Q399" i="5"/>
  <c r="S392" i="5"/>
  <c r="S393" i="5" s="1"/>
  <c r="Q291" i="5"/>
  <c r="Q129" i="5"/>
  <c r="AD73" i="5"/>
  <c r="R155" i="5"/>
  <c r="R156" i="5" s="1"/>
  <c r="R158" i="5" s="1"/>
  <c r="R149" i="5"/>
  <c r="Q176" i="5"/>
  <c r="Q177" i="5" s="1"/>
  <c r="Q344" i="5"/>
  <c r="Q345" i="5" s="1"/>
  <c r="Q338" i="5"/>
  <c r="Q339" i="5" s="1"/>
  <c r="R425" i="5"/>
  <c r="R426" i="5" s="1"/>
  <c r="R419" i="5"/>
  <c r="R290" i="5"/>
  <c r="R291" i="5" s="1"/>
  <c r="R284" i="5"/>
  <c r="R285" i="5" s="1"/>
  <c r="R128" i="5"/>
  <c r="R122" i="5"/>
  <c r="R123" i="5" s="1"/>
  <c r="S398" i="5"/>
  <c r="S399" i="5" s="1"/>
  <c r="R371" i="5"/>
  <c r="R372" i="5" s="1"/>
  <c r="R365" i="5"/>
  <c r="Q209" i="5"/>
  <c r="Q210" i="5" s="1"/>
  <c r="Q203" i="5"/>
  <c r="Q204" i="5" s="1"/>
  <c r="Q101" i="5"/>
  <c r="Q102" i="5" s="1"/>
  <c r="Q95" i="5"/>
  <c r="Q96" i="5" s="1"/>
  <c r="R420" i="5"/>
  <c r="T386" i="5"/>
  <c r="T398" i="5" s="1"/>
  <c r="U386" i="5"/>
  <c r="R366" i="5"/>
  <c r="R150" i="5"/>
  <c r="R129" i="5"/>
  <c r="AE88" i="5"/>
  <c r="AE73" i="5"/>
  <c r="S122" i="5"/>
  <c r="S128" i="5"/>
  <c r="T392" i="5"/>
  <c r="R101" i="5"/>
  <c r="R102" i="5" s="1"/>
  <c r="R95" i="5"/>
  <c r="R96" i="5" s="1"/>
  <c r="R90" i="5"/>
  <c r="R209" i="5"/>
  <c r="R210" i="5" s="1"/>
  <c r="R203" i="5"/>
  <c r="R204" i="5" s="1"/>
  <c r="S371" i="5"/>
  <c r="S372" i="5" s="1"/>
  <c r="S365" i="5"/>
  <c r="S366" i="5" s="1"/>
  <c r="T359" i="5"/>
  <c r="T371" i="5" s="1"/>
  <c r="U359" i="5"/>
  <c r="S290" i="5"/>
  <c r="S284" i="5"/>
  <c r="S285" i="5" s="1"/>
  <c r="U278" i="5"/>
  <c r="T278" i="5"/>
  <c r="S425" i="5"/>
  <c r="S426" i="5" s="1"/>
  <c r="S419" i="5"/>
  <c r="S420" i="5" s="1"/>
  <c r="U413" i="5"/>
  <c r="T413" i="5"/>
  <c r="R344" i="5"/>
  <c r="R345" i="5" s="1"/>
  <c r="R338" i="5"/>
  <c r="R339" i="5" s="1"/>
  <c r="S155" i="5"/>
  <c r="S149" i="5"/>
  <c r="S150" i="5" s="1"/>
  <c r="R176" i="5"/>
  <c r="R177" i="5"/>
  <c r="S291" i="5"/>
  <c r="S156" i="5"/>
  <c r="U143" i="5"/>
  <c r="T143" i="5"/>
  <c r="T149" i="5" s="1"/>
  <c r="AF115" i="5"/>
  <c r="AG114" i="5"/>
  <c r="S129" i="5"/>
  <c r="S123" i="5"/>
  <c r="U116" i="5"/>
  <c r="T116" i="5"/>
  <c r="AG87" i="5"/>
  <c r="AH249" i="5" s="1"/>
  <c r="AH276" i="5" s="1"/>
  <c r="AH303" i="5" s="1"/>
  <c r="AF88" i="5"/>
  <c r="AF73" i="5"/>
  <c r="U128" i="5"/>
  <c r="U129" i="5" s="1"/>
  <c r="T155" i="5"/>
  <c r="T128" i="5"/>
  <c r="T122" i="5"/>
  <c r="S344" i="5"/>
  <c r="S345" i="5" s="1"/>
  <c r="S338" i="5"/>
  <c r="S339" i="5" s="1"/>
  <c r="T332" i="5"/>
  <c r="T338" i="5" s="1"/>
  <c r="U332" i="5"/>
  <c r="U290" i="5"/>
  <c r="U284" i="5"/>
  <c r="V278" i="5"/>
  <c r="U279" i="5"/>
  <c r="S176" i="5"/>
  <c r="S177" i="5" s="1"/>
  <c r="U170" i="5"/>
  <c r="T170" i="5"/>
  <c r="T176" i="5" s="1"/>
  <c r="U425" i="5"/>
  <c r="U426" i="5" s="1"/>
  <c r="V413" i="5"/>
  <c r="U365" i="5"/>
  <c r="U366" i="5" s="1"/>
  <c r="T365" i="5"/>
  <c r="S209" i="5"/>
  <c r="S210" i="5" s="1"/>
  <c r="S203" i="5"/>
  <c r="S204" i="5" s="1"/>
  <c r="T197" i="5"/>
  <c r="T209" i="5" s="1"/>
  <c r="U197" i="5"/>
  <c r="S95" i="5"/>
  <c r="S96" i="5" s="1"/>
  <c r="S101" i="5"/>
  <c r="S102" i="5" s="1"/>
  <c r="U89" i="5"/>
  <c r="T89" i="5"/>
  <c r="U95" i="5"/>
  <c r="U96" i="5" s="1"/>
  <c r="U338" i="5"/>
  <c r="U339" i="5" s="1"/>
  <c r="U333" i="5"/>
  <c r="T101" i="5"/>
  <c r="T95" i="5"/>
  <c r="T203" i="5"/>
  <c r="V425" i="5"/>
  <c r="V426" i="5" s="1"/>
  <c r="V414" i="5"/>
  <c r="V170" i="5"/>
  <c r="V290" i="5"/>
  <c r="V284" i="5"/>
  <c r="V285" i="5" s="1"/>
  <c r="W278" i="5"/>
  <c r="V171" i="5"/>
  <c r="AM276" i="5"/>
  <c r="AM303" i="5" s="1"/>
  <c r="AL114" i="5"/>
  <c r="AM195" i="5"/>
  <c r="AM222" i="5" s="1"/>
  <c r="AN330" i="5" s="1"/>
  <c r="AN357" i="5" s="1"/>
  <c r="AK222" i="5"/>
  <c r="AL330" i="5" s="1"/>
  <c r="AL357" i="5" s="1"/>
  <c r="AL384" i="5" s="1"/>
  <c r="AL411" i="5" s="1"/>
  <c r="AL196" i="5"/>
  <c r="AJ222" i="5"/>
  <c r="AK196" i="5"/>
  <c r="AI222" i="5"/>
  <c r="AJ196" i="5"/>
  <c r="AL141" i="5"/>
  <c r="AO195" i="5"/>
  <c r="AO222" i="5" s="1"/>
  <c r="AM196" i="5"/>
  <c r="AK330" i="5"/>
  <c r="AK357" i="5" s="1"/>
  <c r="AK384" i="5" s="1"/>
  <c r="AJ330" i="5"/>
  <c r="AJ357" i="5" s="1"/>
  <c r="AJ384" i="5" s="1"/>
  <c r="AJ411" i="5" s="1"/>
  <c r="AO196" i="5"/>
  <c r="AI196" i="5"/>
  <c r="O8" i="5"/>
  <c r="AI330" i="5"/>
  <c r="AI357" i="5"/>
  <c r="AI384" i="5" s="1"/>
  <c r="H19" i="30"/>
  <c r="I21" i="30"/>
  <c r="J19" i="30"/>
  <c r="H21" i="30"/>
  <c r="K19" i="30"/>
  <c r="J21" i="30"/>
  <c r="K21" i="30"/>
  <c r="L21" i="30"/>
  <c r="L19" i="30"/>
  <c r="G19" i="30"/>
  <c r="CS20" i="7"/>
  <c r="CW25" i="7"/>
  <c r="DP25" i="7" s="1"/>
  <c r="CT17" i="7"/>
  <c r="CV25" i="7"/>
  <c r="DO25" i="7" s="1"/>
  <c r="CS29" i="7"/>
  <c r="DL29" i="7" s="1"/>
  <c r="CX19" i="7"/>
  <c r="DQ19" i="7" s="1"/>
  <c r="CX17" i="7"/>
  <c r="DQ17" i="7" s="1"/>
  <c r="V31" i="5"/>
  <c r="V34" i="5" s="1"/>
  <c r="X31" i="5"/>
  <c r="X34" i="5" s="1"/>
  <c r="Z31" i="5"/>
  <c r="Z34" i="5" s="1"/>
  <c r="AB31" i="5"/>
  <c r="AD31" i="5"/>
  <c r="AF31" i="5"/>
  <c r="P114" i="5"/>
  <c r="P141" i="5" s="1"/>
  <c r="P88" i="5"/>
  <c r="P90" i="5" s="1"/>
  <c r="O114" i="5"/>
  <c r="O115" i="5" s="1"/>
  <c r="O117" i="5" s="1"/>
  <c r="O131" i="5" s="1"/>
  <c r="O88" i="5"/>
  <c r="O90" i="5" s="1"/>
  <c r="Q114" i="5"/>
  <c r="Q88" i="5"/>
  <c r="Q90" i="5" s="1"/>
  <c r="Y34" i="5"/>
  <c r="S33" i="31"/>
  <c r="T6" i="31"/>
  <c r="D21" i="31"/>
  <c r="N87" i="31"/>
  <c r="O60" i="31"/>
  <c r="C48" i="31"/>
  <c r="O46" i="31"/>
  <c r="AB46" i="31"/>
  <c r="C61" i="31"/>
  <c r="E61" i="31"/>
  <c r="E63" i="31" s="1"/>
  <c r="G61" i="31"/>
  <c r="G63" i="31" s="1"/>
  <c r="I61" i="31"/>
  <c r="I63" i="31" s="1"/>
  <c r="K61" i="31"/>
  <c r="K63" i="31" s="1"/>
  <c r="M61" i="31"/>
  <c r="M63" i="31" s="1"/>
  <c r="AC61" i="31"/>
  <c r="AD58" i="31"/>
  <c r="O62" i="31"/>
  <c r="P62" i="31"/>
  <c r="P63" i="31" s="1"/>
  <c r="Q62" i="31"/>
  <c r="R62" i="31" s="1"/>
  <c r="I69" i="31"/>
  <c r="K69" i="31"/>
  <c r="M69" i="31"/>
  <c r="C9" i="31"/>
  <c r="O7" i="31"/>
  <c r="AC4" i="31"/>
  <c r="AA4" i="31"/>
  <c r="Y4" i="31"/>
  <c r="W4" i="31"/>
  <c r="U4" i="31"/>
  <c r="S4" i="31"/>
  <c r="S7" i="31"/>
  <c r="Q4" i="31"/>
  <c r="Q7" i="31" s="1"/>
  <c r="Z4" i="31"/>
  <c r="X4" i="31"/>
  <c r="V4" i="31"/>
  <c r="T4" i="31"/>
  <c r="R4" i="31"/>
  <c r="R7" i="31" s="1"/>
  <c r="P4" i="31"/>
  <c r="P7" i="31" s="1"/>
  <c r="P71" i="31"/>
  <c r="P73" i="31" s="1"/>
  <c r="P75" i="31" s="1"/>
  <c r="P19" i="31"/>
  <c r="Q17" i="31"/>
  <c r="C36" i="31"/>
  <c r="C303" i="31"/>
  <c r="C330" i="31"/>
  <c r="C277" i="31"/>
  <c r="E303" i="31"/>
  <c r="E330" i="31" s="1"/>
  <c r="E277" i="31"/>
  <c r="E279" i="31" s="1"/>
  <c r="G303" i="31"/>
  <c r="G277" i="31"/>
  <c r="I303" i="31"/>
  <c r="I330" i="31"/>
  <c r="I357" i="31" s="1"/>
  <c r="I277" i="31"/>
  <c r="K303" i="31"/>
  <c r="K330" i="31" s="1"/>
  <c r="K277" i="31"/>
  <c r="M303" i="31"/>
  <c r="M330" i="31"/>
  <c r="M277" i="31"/>
  <c r="P40" i="31"/>
  <c r="Q38" i="31"/>
  <c r="D48" i="31"/>
  <c r="D61" i="31"/>
  <c r="D63" i="31" s="1"/>
  <c r="F61" i="31"/>
  <c r="F63" i="31"/>
  <c r="H61" i="31"/>
  <c r="H63" i="31" s="1"/>
  <c r="J61" i="31"/>
  <c r="J63" i="31"/>
  <c r="L61" i="31"/>
  <c r="L63" i="31" s="1"/>
  <c r="N61" i="31"/>
  <c r="N63" i="31"/>
  <c r="C69" i="31"/>
  <c r="P68" i="31"/>
  <c r="Q68" i="31"/>
  <c r="R68" i="31" s="1"/>
  <c r="S68" i="31" s="1"/>
  <c r="T68" i="31" s="1"/>
  <c r="U68" i="31" s="1"/>
  <c r="V68" i="31" s="1"/>
  <c r="W68" i="31" s="1"/>
  <c r="X68" i="31" s="1"/>
  <c r="Y68" i="31" s="1"/>
  <c r="Z68" i="31" s="1"/>
  <c r="AA68" i="31" s="1"/>
  <c r="O68" i="31"/>
  <c r="O19" i="31"/>
  <c r="D430" i="31"/>
  <c r="D403" i="31"/>
  <c r="D376" i="31"/>
  <c r="D349" i="31"/>
  <c r="D322" i="31"/>
  <c r="D295" i="31"/>
  <c r="D268" i="31"/>
  <c r="D241" i="31"/>
  <c r="D214" i="31"/>
  <c r="D160" i="31"/>
  <c r="D106" i="31"/>
  <c r="D187" i="31"/>
  <c r="D133" i="31"/>
  <c r="D79" i="31"/>
  <c r="R33" i="31"/>
  <c r="E35" i="31"/>
  <c r="E36" i="31" s="1"/>
  <c r="O45" i="31"/>
  <c r="D65" i="31"/>
  <c r="D67" i="31" s="1"/>
  <c r="D69" i="31" s="1"/>
  <c r="C75" i="31"/>
  <c r="O73" i="31"/>
  <c r="O71" i="31"/>
  <c r="O74" i="31"/>
  <c r="P74" i="31"/>
  <c r="Q74" i="31"/>
  <c r="R74" i="31" s="1"/>
  <c r="S74" i="31" s="1"/>
  <c r="T74" i="31" s="1"/>
  <c r="U74" i="31" s="1"/>
  <c r="V74" i="31" s="1"/>
  <c r="W74" i="31" s="1"/>
  <c r="X74" i="31" s="1"/>
  <c r="Y74" i="31" s="1"/>
  <c r="Z74" i="31" s="1"/>
  <c r="AA74" i="31" s="1"/>
  <c r="C88" i="31"/>
  <c r="E88" i="31"/>
  <c r="G88" i="31"/>
  <c r="I88" i="31"/>
  <c r="K88" i="31"/>
  <c r="M88" i="31"/>
  <c r="AD85" i="31"/>
  <c r="C102" i="31"/>
  <c r="O100" i="31"/>
  <c r="C115" i="31"/>
  <c r="E115" i="31"/>
  <c r="E117" i="31"/>
  <c r="G115" i="31"/>
  <c r="I115" i="31"/>
  <c r="K115" i="31"/>
  <c r="M115" i="31"/>
  <c r="AD112" i="31"/>
  <c r="E128" i="31"/>
  <c r="E122" i="31"/>
  <c r="F116" i="31"/>
  <c r="F128" i="31" s="1"/>
  <c r="Q121" i="31"/>
  <c r="R119" i="31"/>
  <c r="C129" i="31"/>
  <c r="O127" i="31"/>
  <c r="E129" i="31"/>
  <c r="C142" i="31"/>
  <c r="C144" i="31" s="1"/>
  <c r="E142" i="31"/>
  <c r="G142" i="31"/>
  <c r="I142" i="31"/>
  <c r="K142" i="31"/>
  <c r="M142" i="31"/>
  <c r="P142" i="31"/>
  <c r="V142" i="31"/>
  <c r="C156" i="31"/>
  <c r="O154" i="31"/>
  <c r="C169" i="31"/>
  <c r="E169" i="31"/>
  <c r="G169" i="31"/>
  <c r="I169" i="31"/>
  <c r="K169" i="31"/>
  <c r="M169" i="31"/>
  <c r="C177" i="31"/>
  <c r="O175" i="31"/>
  <c r="O182" i="31"/>
  <c r="P182" i="31"/>
  <c r="C196" i="31"/>
  <c r="E196" i="31"/>
  <c r="G196" i="31"/>
  <c r="I196" i="31"/>
  <c r="K196" i="31"/>
  <c r="M196" i="31"/>
  <c r="C210" i="31"/>
  <c r="O208" i="31"/>
  <c r="AH6" i="31"/>
  <c r="AH33" i="31" s="1"/>
  <c r="E8" i="31"/>
  <c r="E14" i="31" s="1"/>
  <c r="P11" i="31"/>
  <c r="D14" i="31"/>
  <c r="E25" i="31"/>
  <c r="E376" i="31" s="1"/>
  <c r="O33" i="31"/>
  <c r="AG33" i="31"/>
  <c r="E38" i="31"/>
  <c r="D41" i="31"/>
  <c r="D42" i="31" s="1"/>
  <c r="AB45" i="31"/>
  <c r="D52" i="31"/>
  <c r="D88" i="31"/>
  <c r="D90" i="31" s="1"/>
  <c r="F88" i="31"/>
  <c r="H88" i="31"/>
  <c r="J88" i="31"/>
  <c r="L88" i="31"/>
  <c r="N88" i="31"/>
  <c r="C96" i="31"/>
  <c r="O94" i="31"/>
  <c r="D115" i="31"/>
  <c r="D117" i="31" s="1"/>
  <c r="F115" i="31"/>
  <c r="F117" i="31" s="1"/>
  <c r="H115" i="31"/>
  <c r="J115" i="31"/>
  <c r="L115" i="31"/>
  <c r="C123" i="31"/>
  <c r="O121" i="31"/>
  <c r="E123" i="31"/>
  <c r="Q127" i="31"/>
  <c r="R125" i="31"/>
  <c r="S125" i="31" s="1"/>
  <c r="S127" i="31" s="1"/>
  <c r="D142" i="31"/>
  <c r="D144" i="31" s="1"/>
  <c r="F142" i="31"/>
  <c r="H142" i="31"/>
  <c r="J142" i="31"/>
  <c r="L142" i="31"/>
  <c r="AD139" i="31"/>
  <c r="C150" i="31"/>
  <c r="O148" i="31"/>
  <c r="D169" i="31"/>
  <c r="D171" i="31"/>
  <c r="F169" i="31"/>
  <c r="H169" i="31"/>
  <c r="J169" i="31"/>
  <c r="L169" i="31"/>
  <c r="D177" i="31"/>
  <c r="C183" i="31"/>
  <c r="O181" i="31"/>
  <c r="D196" i="31"/>
  <c r="D198" i="31" s="1"/>
  <c r="F196" i="31"/>
  <c r="H196" i="31"/>
  <c r="J196" i="31"/>
  <c r="L196" i="31"/>
  <c r="C204" i="31"/>
  <c r="O202" i="31"/>
  <c r="Q85" i="31"/>
  <c r="Q88" i="31" s="1"/>
  <c r="S85" i="31"/>
  <c r="U85" i="31"/>
  <c r="W85" i="31"/>
  <c r="W88" i="31" s="1"/>
  <c r="Y85" i="31"/>
  <c r="AA85" i="31"/>
  <c r="S87" i="31"/>
  <c r="X87" i="31"/>
  <c r="Y87" i="31" s="1"/>
  <c r="AE87" i="31"/>
  <c r="AH87" i="31"/>
  <c r="AH114" i="31" s="1"/>
  <c r="E89" i="31"/>
  <c r="Q92" i="31"/>
  <c r="O93" i="31"/>
  <c r="Q98" i="31"/>
  <c r="Q100" i="31" s="1"/>
  <c r="O99" i="31"/>
  <c r="AG114" i="31"/>
  <c r="AG141" i="31" s="1"/>
  <c r="P121" i="31"/>
  <c r="D122" i="31"/>
  <c r="D123" i="31" s="1"/>
  <c r="P127" i="31"/>
  <c r="D128" i="31"/>
  <c r="D129" i="31" s="1"/>
  <c r="W139" i="31"/>
  <c r="W142" i="31" s="1"/>
  <c r="Y139" i="31"/>
  <c r="AA139" i="31"/>
  <c r="E143" i="31"/>
  <c r="Q146" i="31"/>
  <c r="R146" i="31" s="1"/>
  <c r="O147" i="31"/>
  <c r="Q152" i="31"/>
  <c r="O153" i="31"/>
  <c r="AD166" i="31"/>
  <c r="R168" i="31"/>
  <c r="S168" i="31" s="1"/>
  <c r="E170" i="31"/>
  <c r="Q173" i="31"/>
  <c r="O174" i="31"/>
  <c r="Q179" i="31"/>
  <c r="R179" i="31" s="1"/>
  <c r="R181" i="31" s="1"/>
  <c r="O180" i="31"/>
  <c r="Q193" i="31"/>
  <c r="Q196" i="31" s="1"/>
  <c r="S193" i="31"/>
  <c r="U193" i="31"/>
  <c r="W193" i="31"/>
  <c r="Y193" i="31"/>
  <c r="AA193" i="31"/>
  <c r="E197" i="31"/>
  <c r="E203" i="31" s="1"/>
  <c r="Q200" i="31"/>
  <c r="Q202" i="31" s="1"/>
  <c r="O201" i="31"/>
  <c r="Q206" i="31"/>
  <c r="O207" i="31"/>
  <c r="C223" i="31"/>
  <c r="C225" i="31" s="1"/>
  <c r="E223" i="31"/>
  <c r="G223" i="31"/>
  <c r="I223" i="31"/>
  <c r="K223" i="31"/>
  <c r="M223" i="31"/>
  <c r="P223" i="31"/>
  <c r="AD220" i="31"/>
  <c r="R235" i="31"/>
  <c r="S233" i="31"/>
  <c r="D237" i="31"/>
  <c r="D250" i="31"/>
  <c r="D252" i="31" s="1"/>
  <c r="F250" i="31"/>
  <c r="H250" i="31"/>
  <c r="J250" i="31"/>
  <c r="L250" i="31"/>
  <c r="C258" i="31"/>
  <c r="O256" i="31"/>
  <c r="D264" i="31"/>
  <c r="D266" i="31" s="1"/>
  <c r="D277" i="31"/>
  <c r="D279" i="31" s="1"/>
  <c r="F277" i="31"/>
  <c r="H277" i="31"/>
  <c r="J277" i="31"/>
  <c r="L277" i="31"/>
  <c r="C285" i="31"/>
  <c r="O283" i="31"/>
  <c r="D95" i="31"/>
  <c r="D96" i="31" s="1"/>
  <c r="AD114" i="31"/>
  <c r="AD141" i="31" s="1"/>
  <c r="O120" i="31"/>
  <c r="O126" i="31"/>
  <c r="D149" i="31"/>
  <c r="D150" i="31" s="1"/>
  <c r="D203" i="31"/>
  <c r="D204" i="31" s="1"/>
  <c r="D223" i="31"/>
  <c r="D225" i="31" s="1"/>
  <c r="F223" i="31"/>
  <c r="H223" i="31"/>
  <c r="J223" i="31"/>
  <c r="L223" i="31"/>
  <c r="Q223" i="31"/>
  <c r="C231" i="31"/>
  <c r="C239" i="31" s="1"/>
  <c r="C243" i="31" s="1"/>
  <c r="C444" i="31" s="1"/>
  <c r="O229" i="31"/>
  <c r="C237" i="31"/>
  <c r="O235" i="31"/>
  <c r="C250" i="31"/>
  <c r="C252" i="31" s="1"/>
  <c r="C266" i="31" s="1"/>
  <c r="C270" i="31" s="1"/>
  <c r="C445" i="31" s="1"/>
  <c r="E250" i="31"/>
  <c r="G250" i="31"/>
  <c r="I250" i="31"/>
  <c r="K250" i="31"/>
  <c r="M250" i="31"/>
  <c r="C264" i="31"/>
  <c r="O262" i="31"/>
  <c r="E290" i="31"/>
  <c r="E291" i="31" s="1"/>
  <c r="E284" i="31"/>
  <c r="E285" i="31" s="1"/>
  <c r="F278" i="31"/>
  <c r="E224" i="31"/>
  <c r="E225" i="31" s="1"/>
  <c r="Q227" i="31"/>
  <c r="Q229" i="31" s="1"/>
  <c r="O228" i="31"/>
  <c r="O234" i="31"/>
  <c r="Q235" i="31"/>
  <c r="AD247" i="31"/>
  <c r="AE247" i="31" s="1"/>
  <c r="AE250" i="31" s="1"/>
  <c r="E251" i="31"/>
  <c r="E257" i="31" s="1"/>
  <c r="Q254" i="31"/>
  <c r="O255" i="31"/>
  <c r="Q260" i="31"/>
  <c r="R260" i="31" s="1"/>
  <c r="O261" i="31"/>
  <c r="Q281" i="31"/>
  <c r="Q283" i="31" s="1"/>
  <c r="O282" i="31"/>
  <c r="D304" i="31"/>
  <c r="D306" i="31" s="1"/>
  <c r="D320" i="31" s="1"/>
  <c r="D324" i="31" s="1"/>
  <c r="D447" i="31" s="1"/>
  <c r="F304" i="31"/>
  <c r="F306" i="31"/>
  <c r="H304" i="31"/>
  <c r="H306" i="31" s="1"/>
  <c r="H320" i="31" s="1"/>
  <c r="J304" i="31"/>
  <c r="J306" i="31" s="1"/>
  <c r="L304" i="31"/>
  <c r="L306" i="31" s="1"/>
  <c r="L320" i="31" s="1"/>
  <c r="C312" i="31"/>
  <c r="O310" i="31"/>
  <c r="G312" i="31"/>
  <c r="I312" i="31"/>
  <c r="K312" i="31"/>
  <c r="M312" i="31"/>
  <c r="F318" i="31"/>
  <c r="H318" i="31"/>
  <c r="J318" i="31"/>
  <c r="L318" i="31"/>
  <c r="N318" i="31"/>
  <c r="D331" i="31"/>
  <c r="D333" i="31" s="1"/>
  <c r="F331" i="31"/>
  <c r="H331" i="31"/>
  <c r="J331" i="31"/>
  <c r="L331" i="31"/>
  <c r="C339" i="31"/>
  <c r="O337" i="31"/>
  <c r="D345" i="31"/>
  <c r="D230" i="31"/>
  <c r="D231" i="31" s="1"/>
  <c r="D257" i="31"/>
  <c r="D258" i="31"/>
  <c r="D290" i="31"/>
  <c r="D291" i="31" s="1"/>
  <c r="D284" i="31"/>
  <c r="D285" i="31" s="1"/>
  <c r="C291" i="31"/>
  <c r="O289" i="31"/>
  <c r="C304" i="31"/>
  <c r="C306" i="31" s="1"/>
  <c r="E304" i="31"/>
  <c r="E306" i="31" s="1"/>
  <c r="E320" i="31" s="1"/>
  <c r="I304" i="31"/>
  <c r="I306" i="31" s="1"/>
  <c r="I320" i="31" s="1"/>
  <c r="M304" i="31"/>
  <c r="M306" i="31"/>
  <c r="P305" i="31"/>
  <c r="O305" i="31"/>
  <c r="O311" i="31"/>
  <c r="P311" i="31"/>
  <c r="Q311" i="31" s="1"/>
  <c r="R311" i="31" s="1"/>
  <c r="O316" i="31"/>
  <c r="C318" i="31"/>
  <c r="O318" i="31" s="1"/>
  <c r="P317" i="31"/>
  <c r="Q317" i="31" s="1"/>
  <c r="O317" i="31"/>
  <c r="I331" i="31"/>
  <c r="C345" i="31"/>
  <c r="O343" i="31"/>
  <c r="Q287" i="31"/>
  <c r="O288" i="31"/>
  <c r="Q308" i="31"/>
  <c r="O309" i="31"/>
  <c r="R314" i="31"/>
  <c r="AD328" i="31"/>
  <c r="E332" i="31"/>
  <c r="Q335" i="31"/>
  <c r="R335" i="31" s="1"/>
  <c r="S335" i="31" s="1"/>
  <c r="O336" i="31"/>
  <c r="Q341" i="31"/>
  <c r="O342" i="31"/>
  <c r="C366" i="31"/>
  <c r="O364" i="31"/>
  <c r="D372" i="31"/>
  <c r="D385" i="31"/>
  <c r="D387" i="31"/>
  <c r="F385" i="31"/>
  <c r="F387" i="31" s="1"/>
  <c r="H385" i="31"/>
  <c r="J385" i="31"/>
  <c r="L385" i="31"/>
  <c r="AA301" i="31"/>
  <c r="AA304" i="31" s="1"/>
  <c r="O315" i="31"/>
  <c r="D338" i="31"/>
  <c r="D339" i="31" s="1"/>
  <c r="D358" i="31"/>
  <c r="D360" i="31" s="1"/>
  <c r="F358" i="31"/>
  <c r="H358" i="31"/>
  <c r="J358" i="31"/>
  <c r="L358" i="31"/>
  <c r="AD355" i="31"/>
  <c r="AE355" i="31" s="1"/>
  <c r="AF355" i="31" s="1"/>
  <c r="AG355" i="31" s="1"/>
  <c r="AH355" i="31" s="1"/>
  <c r="AI355" i="31" s="1"/>
  <c r="C372" i="31"/>
  <c r="O370" i="31"/>
  <c r="E398" i="31"/>
  <c r="E399" i="31" s="1"/>
  <c r="E392" i="31"/>
  <c r="F386" i="31"/>
  <c r="G386" i="31" s="1"/>
  <c r="E359" i="31"/>
  <c r="Q362" i="31"/>
  <c r="O363" i="31"/>
  <c r="Q368" i="31"/>
  <c r="Q370" i="31" s="1"/>
  <c r="O369" i="31"/>
  <c r="AD382" i="31"/>
  <c r="AE382" i="31" s="1"/>
  <c r="AF382" i="31" s="1"/>
  <c r="AG382" i="31" s="1"/>
  <c r="C393" i="31"/>
  <c r="O391" i="31"/>
  <c r="E393" i="31"/>
  <c r="D412" i="31"/>
  <c r="D414" i="31" s="1"/>
  <c r="F412" i="31"/>
  <c r="H412" i="31"/>
  <c r="J412" i="31"/>
  <c r="L412" i="31"/>
  <c r="C420" i="31"/>
  <c r="O418" i="31"/>
  <c r="D365" i="31"/>
  <c r="D366" i="31" s="1"/>
  <c r="D398" i="31"/>
  <c r="D399" i="31" s="1"/>
  <c r="D392" i="31"/>
  <c r="D393" i="31"/>
  <c r="P391" i="31"/>
  <c r="Q389" i="31"/>
  <c r="C399" i="31"/>
  <c r="O397" i="31"/>
  <c r="D420" i="31"/>
  <c r="C426" i="31"/>
  <c r="O424" i="31"/>
  <c r="O390" i="31"/>
  <c r="Q395" i="31"/>
  <c r="O396" i="31"/>
  <c r="E413" i="31"/>
  <c r="E425" i="31" s="1"/>
  <c r="Q416" i="31"/>
  <c r="Q418" i="31" s="1"/>
  <c r="O417" i="31"/>
  <c r="Q422" i="31"/>
  <c r="O423" i="31"/>
  <c r="D425" i="31"/>
  <c r="D426" i="31" s="1"/>
  <c r="F455" i="31"/>
  <c r="AD460" i="31"/>
  <c r="Q115" i="5"/>
  <c r="Q117" i="5" s="1"/>
  <c r="Q131" i="5" s="1"/>
  <c r="Q141" i="5"/>
  <c r="Q142" i="5" s="1"/>
  <c r="Q144" i="5" s="1"/>
  <c r="Q158" i="5" s="1"/>
  <c r="O141" i="5"/>
  <c r="O142" i="5" s="1"/>
  <c r="O144" i="5" s="1"/>
  <c r="O158" i="5" s="1"/>
  <c r="P115" i="5"/>
  <c r="P117" i="5" s="1"/>
  <c r="AE460" i="31"/>
  <c r="G455" i="31"/>
  <c r="E426" i="31"/>
  <c r="F413" i="31"/>
  <c r="R422" i="31"/>
  <c r="S422" i="31" s="1"/>
  <c r="T422" i="31" s="1"/>
  <c r="Q424" i="31"/>
  <c r="R416" i="31"/>
  <c r="Q391" i="31"/>
  <c r="R389" i="31"/>
  <c r="R391" i="31" s="1"/>
  <c r="R368" i="31"/>
  <c r="R362" i="31"/>
  <c r="Q364" i="31"/>
  <c r="F332" i="31"/>
  <c r="G332" i="31" s="1"/>
  <c r="E344" i="31"/>
  <c r="E345" i="31" s="1"/>
  <c r="E338" i="31"/>
  <c r="E339" i="31" s="1"/>
  <c r="R308" i="31"/>
  <c r="Q310" i="31"/>
  <c r="Q312" i="31" s="1"/>
  <c r="P318" i="31"/>
  <c r="M320" i="31"/>
  <c r="O312" i="31"/>
  <c r="F320" i="31"/>
  <c r="Q262" i="31"/>
  <c r="R254" i="31"/>
  <c r="S254" i="31" s="1"/>
  <c r="T254" i="31" s="1"/>
  <c r="Q256" i="31"/>
  <c r="F290" i="31"/>
  <c r="F291" i="31" s="1"/>
  <c r="F284" i="31"/>
  <c r="F285" i="31" s="1"/>
  <c r="G278" i="31"/>
  <c r="E252" i="31"/>
  <c r="F279" i="31"/>
  <c r="T233" i="31"/>
  <c r="T235" i="31" s="1"/>
  <c r="S235" i="31"/>
  <c r="AE220" i="31"/>
  <c r="E209" i="31"/>
  <c r="E210" i="31"/>
  <c r="E204" i="31"/>
  <c r="Q181" i="31"/>
  <c r="R173" i="31"/>
  <c r="Q175" i="31"/>
  <c r="R195" i="31"/>
  <c r="R222" i="31" s="1"/>
  <c r="R223" i="31" s="1"/>
  <c r="F143" i="31"/>
  <c r="E155" i="31"/>
  <c r="E156" i="31" s="1"/>
  <c r="E149" i="31"/>
  <c r="E150" i="31" s="1"/>
  <c r="R98" i="31"/>
  <c r="R100" i="31" s="1"/>
  <c r="R92" i="31"/>
  <c r="S92" i="31" s="1"/>
  <c r="T92" i="31" s="1"/>
  <c r="Q94" i="31"/>
  <c r="AI249" i="31"/>
  <c r="AI276" i="31" s="1"/>
  <c r="AH141" i="31"/>
  <c r="AI87" i="31"/>
  <c r="X114" i="31"/>
  <c r="X115" i="31" s="1"/>
  <c r="S88" i="31"/>
  <c r="AE139" i="31"/>
  <c r="F144" i="31"/>
  <c r="R127" i="31"/>
  <c r="E430" i="31"/>
  <c r="E403" i="31"/>
  <c r="E349" i="31"/>
  <c r="E322" i="31"/>
  <c r="E295" i="31"/>
  <c r="E268" i="31"/>
  <c r="E241" i="31"/>
  <c r="E187" i="31"/>
  <c r="E79" i="31"/>
  <c r="E160" i="31"/>
  <c r="E106" i="31"/>
  <c r="F25" i="31"/>
  <c r="F403" i="31" s="1"/>
  <c r="P13" i="31"/>
  <c r="P65" i="31"/>
  <c r="P67" i="31" s="1"/>
  <c r="Q11" i="31"/>
  <c r="E20" i="31"/>
  <c r="E21" i="31" s="1"/>
  <c r="C198" i="31"/>
  <c r="R169" i="31"/>
  <c r="C171" i="31"/>
  <c r="C185" i="31" s="1"/>
  <c r="S119" i="31"/>
  <c r="S121" i="31" s="1"/>
  <c r="R121" i="31"/>
  <c r="G116" i="31"/>
  <c r="F129" i="31"/>
  <c r="F122" i="31"/>
  <c r="F123" i="31"/>
  <c r="C23" i="31"/>
  <c r="AD61" i="31"/>
  <c r="AE58" i="31"/>
  <c r="AE61" i="31" s="1"/>
  <c r="F398" i="31"/>
  <c r="F399" i="31" s="1"/>
  <c r="F392" i="31"/>
  <c r="F393" i="31" s="1"/>
  <c r="R341" i="31"/>
  <c r="Q343" i="31"/>
  <c r="Q337" i="31"/>
  <c r="AE328" i="31"/>
  <c r="P312" i="31"/>
  <c r="F333" i="31"/>
  <c r="R281" i="31"/>
  <c r="R283" i="31" s="1"/>
  <c r="F251" i="31"/>
  <c r="E263" i="31"/>
  <c r="E264" i="31" s="1"/>
  <c r="E258" i="31"/>
  <c r="F224" i="31"/>
  <c r="E236" i="31"/>
  <c r="E237" i="31" s="1"/>
  <c r="D270" i="31"/>
  <c r="D445" i="31" s="1"/>
  <c r="R206" i="31"/>
  <c r="S206" i="31" s="1"/>
  <c r="T206" i="31" s="1"/>
  <c r="Q208" i="31"/>
  <c r="R200" i="31"/>
  <c r="S200" i="31" s="1"/>
  <c r="T200" i="31" s="1"/>
  <c r="F170" i="31"/>
  <c r="E176" i="31"/>
  <c r="E177" i="31" s="1"/>
  <c r="AE166" i="31"/>
  <c r="R152" i="31"/>
  <c r="Q154" i="31"/>
  <c r="Q148" i="31"/>
  <c r="F89" i="31"/>
  <c r="F101" i="31" s="1"/>
  <c r="F102" i="31" s="1"/>
  <c r="E101" i="31"/>
  <c r="E102" i="31" s="1"/>
  <c r="E95" i="31"/>
  <c r="E96" i="31" s="1"/>
  <c r="AF249" i="31"/>
  <c r="AF276" i="31" s="1"/>
  <c r="AF303" i="31" s="1"/>
  <c r="AE114" i="31"/>
  <c r="AE141" i="31" s="1"/>
  <c r="AF142" i="31" s="1"/>
  <c r="T87" i="31"/>
  <c r="T114" i="31" s="1"/>
  <c r="T141" i="31" s="1"/>
  <c r="T142" i="31" s="1"/>
  <c r="S114" i="31"/>
  <c r="E40" i="31"/>
  <c r="F38" i="31"/>
  <c r="G38" i="31" s="1"/>
  <c r="G40" i="31" s="1"/>
  <c r="AI168" i="31"/>
  <c r="AI195" i="31" s="1"/>
  <c r="AI222" i="31" s="1"/>
  <c r="AI6" i="31"/>
  <c r="AJ6" i="31" s="1"/>
  <c r="E198" i="31"/>
  <c r="E171" i="31"/>
  <c r="E185" i="31" s="1"/>
  <c r="E189" i="31" s="1"/>
  <c r="E442" i="31" s="1"/>
  <c r="E144" i="31"/>
  <c r="G117" i="31"/>
  <c r="C117" i="31"/>
  <c r="C131" i="31" s="1"/>
  <c r="AD88" i="31"/>
  <c r="AE85" i="31"/>
  <c r="AE88" i="31" s="1"/>
  <c r="E90" i="31"/>
  <c r="F35" i="31"/>
  <c r="G35" i="31" s="1"/>
  <c r="E47" i="31"/>
  <c r="E48" i="31"/>
  <c r="E41" i="31"/>
  <c r="R38" i="31"/>
  <c r="Q40" i="31"/>
  <c r="G279" i="31"/>
  <c r="C279" i="31"/>
  <c r="C50" i="31"/>
  <c r="Q71" i="31"/>
  <c r="Q73" i="31" s="1"/>
  <c r="Q75" i="31" s="1"/>
  <c r="R17" i="31"/>
  <c r="Q19" i="31"/>
  <c r="AD4" i="31"/>
  <c r="N114" i="31"/>
  <c r="N115" i="31" s="1"/>
  <c r="O87" i="31"/>
  <c r="U6" i="31"/>
  <c r="T33" i="31"/>
  <c r="O168" i="5"/>
  <c r="O169" i="5" s="1"/>
  <c r="O171" i="5" s="1"/>
  <c r="Q168" i="5"/>
  <c r="U33" i="31"/>
  <c r="V6" i="31"/>
  <c r="AE4" i="31"/>
  <c r="AJ168" i="31"/>
  <c r="AJ195" i="31" s="1"/>
  <c r="AJ222" i="31" s="1"/>
  <c r="AJ33" i="31"/>
  <c r="N141" i="31"/>
  <c r="U7" i="31"/>
  <c r="C54" i="31"/>
  <c r="F47" i="31"/>
  <c r="F48" i="31" s="1"/>
  <c r="F41" i="31"/>
  <c r="AF85" i="31"/>
  <c r="T88" i="31"/>
  <c r="R202" i="31"/>
  <c r="R208" i="31"/>
  <c r="AF328" i="31"/>
  <c r="AG328" i="31" s="1"/>
  <c r="AH328" i="31" s="1"/>
  <c r="R337" i="31"/>
  <c r="H386" i="31"/>
  <c r="T119" i="31"/>
  <c r="C212" i="31"/>
  <c r="Q65" i="31"/>
  <c r="Q67" i="31" s="1"/>
  <c r="Q69" i="31" s="1"/>
  <c r="AF139" i="31"/>
  <c r="AG139" i="31" s="1"/>
  <c r="AH139" i="31" s="1"/>
  <c r="AH142" i="31" s="1"/>
  <c r="Z87" i="31"/>
  <c r="R94" i="31"/>
  <c r="F155" i="31"/>
  <c r="F156" i="31"/>
  <c r="F149" i="31"/>
  <c r="F150" i="31"/>
  <c r="G143" i="31"/>
  <c r="G149" i="31" s="1"/>
  <c r="G150" i="31" s="1"/>
  <c r="S195" i="31"/>
  <c r="S222" i="31" s="1"/>
  <c r="S223" i="31" s="1"/>
  <c r="R175" i="31"/>
  <c r="S173" i="31"/>
  <c r="S179" i="31"/>
  <c r="AF220" i="31"/>
  <c r="AG220" i="31" s="1"/>
  <c r="R310" i="31"/>
  <c r="S308" i="31"/>
  <c r="R370" i="31"/>
  <c r="S368" i="31"/>
  <c r="T368" i="31" s="1"/>
  <c r="S389" i="31"/>
  <c r="T389" i="31" s="1"/>
  <c r="F425" i="31"/>
  <c r="F426" i="31" s="1"/>
  <c r="H455" i="31"/>
  <c r="AF460" i="31"/>
  <c r="C293" i="31"/>
  <c r="R40" i="31"/>
  <c r="S38" i="31"/>
  <c r="F40" i="31"/>
  <c r="F42" i="31" s="1"/>
  <c r="S141" i="31"/>
  <c r="S142" i="31" s="1"/>
  <c r="S115" i="31"/>
  <c r="F95" i="31"/>
  <c r="F96" i="31" s="1"/>
  <c r="G89" i="31"/>
  <c r="AF166" i="31"/>
  <c r="AG166" i="31" s="1"/>
  <c r="AH166" i="31" s="1"/>
  <c r="C320" i="31"/>
  <c r="C324" i="31" s="1"/>
  <c r="C447" i="31" s="1"/>
  <c r="C27" i="31"/>
  <c r="C436" i="31" s="1"/>
  <c r="C158" i="31"/>
  <c r="C162" i="31" s="1"/>
  <c r="C441" i="31" s="1"/>
  <c r="P69" i="31"/>
  <c r="F430" i="31"/>
  <c r="F349" i="31"/>
  <c r="F322" i="31"/>
  <c r="F324" i="31" s="1"/>
  <c r="F447" i="31" s="1"/>
  <c r="F241" i="31"/>
  <c r="F214" i="31"/>
  <c r="F106" i="31"/>
  <c r="F133" i="31"/>
  <c r="F52" i="31"/>
  <c r="G25" i="31"/>
  <c r="G430" i="31" s="1"/>
  <c r="T125" i="31"/>
  <c r="U125" i="31" s="1"/>
  <c r="X141" i="31"/>
  <c r="X142" i="31" s="1"/>
  <c r="U233" i="31"/>
  <c r="U235" i="31" s="1"/>
  <c r="G284" i="31"/>
  <c r="G285" i="31" s="1"/>
  <c r="AF247" i="31"/>
  <c r="R256" i="31"/>
  <c r="F344" i="31"/>
  <c r="F345" i="31" s="1"/>
  <c r="F338" i="31"/>
  <c r="F339" i="31" s="1"/>
  <c r="F347" i="31" s="1"/>
  <c r="F351" i="31" s="1"/>
  <c r="F448" i="31" s="1"/>
  <c r="R424" i="31"/>
  <c r="S256" i="31"/>
  <c r="T127" i="31"/>
  <c r="C297" i="31"/>
  <c r="C446" i="31" s="1"/>
  <c r="S391" i="31"/>
  <c r="S370" i="31"/>
  <c r="H143" i="31"/>
  <c r="I143" i="31" s="1"/>
  <c r="G144" i="31"/>
  <c r="Z114" i="31"/>
  <c r="Z141" i="31" s="1"/>
  <c r="Z142" i="31" s="1"/>
  <c r="C216" i="31"/>
  <c r="C443" i="31" s="1"/>
  <c r="T335" i="31"/>
  <c r="S337" i="31"/>
  <c r="S208" i="31"/>
  <c r="S202" i="31"/>
  <c r="W6" i="31"/>
  <c r="V33" i="31"/>
  <c r="V7" i="31"/>
  <c r="S424" i="31"/>
  <c r="V233" i="31"/>
  <c r="V235" i="31" s="1"/>
  <c r="G403" i="31"/>
  <c r="G376" i="31"/>
  <c r="G322" i="31"/>
  <c r="G214" i="31"/>
  <c r="G241" i="31"/>
  <c r="G187" i="31"/>
  <c r="G160" i="31"/>
  <c r="G106" i="31"/>
  <c r="G52" i="31"/>
  <c r="C189" i="31"/>
  <c r="T38" i="31"/>
  <c r="S40" i="31"/>
  <c r="AG460" i="31"/>
  <c r="I455" i="31"/>
  <c r="T173" i="31"/>
  <c r="S175" i="31"/>
  <c r="S94" i="31"/>
  <c r="U119" i="31"/>
  <c r="T121" i="31"/>
  <c r="C437" i="31"/>
  <c r="O115" i="31"/>
  <c r="C135" i="31"/>
  <c r="C440" i="31" s="1"/>
  <c r="AF4" i="31"/>
  <c r="AG4" i="31"/>
  <c r="AH460" i="31"/>
  <c r="AI460" i="31" s="1"/>
  <c r="AJ460" i="31" s="1"/>
  <c r="W33" i="31"/>
  <c r="X6" i="31"/>
  <c r="W7" i="31"/>
  <c r="T202" i="31"/>
  <c r="U200" i="31"/>
  <c r="T337" i="31"/>
  <c r="U335" i="31"/>
  <c r="AG142" i="31"/>
  <c r="AH220" i="31"/>
  <c r="AH382" i="31"/>
  <c r="AI382" i="31" s="1"/>
  <c r="T256" i="31"/>
  <c r="U254" i="31"/>
  <c r="V254" i="31" s="1"/>
  <c r="U121" i="31"/>
  <c r="V119" i="31"/>
  <c r="V121" i="31" s="1"/>
  <c r="J455" i="31"/>
  <c r="K455" i="31" s="1"/>
  <c r="L455" i="31" s="1"/>
  <c r="M455" i="31" s="1"/>
  <c r="N455" i="31" s="1"/>
  <c r="O455" i="31" s="1"/>
  <c r="C442" i="31"/>
  <c r="W233" i="31"/>
  <c r="T424" i="31"/>
  <c r="U422" i="31"/>
  <c r="V422" i="31" s="1"/>
  <c r="H155" i="31"/>
  <c r="H156" i="31" s="1"/>
  <c r="H149" i="31"/>
  <c r="H150" i="31" s="1"/>
  <c r="H144" i="31"/>
  <c r="T391" i="31"/>
  <c r="U389" i="31"/>
  <c r="V389" i="31" s="1"/>
  <c r="V391" i="31" s="1"/>
  <c r="U391" i="31"/>
  <c r="X233" i="31"/>
  <c r="Y233" i="31" s="1"/>
  <c r="Z233" i="31" s="1"/>
  <c r="W235" i="31"/>
  <c r="W119" i="31"/>
  <c r="AI328" i="31"/>
  <c r="AI331" i="31" s="1"/>
  <c r="Y6" i="31"/>
  <c r="Y7" i="31" s="1"/>
  <c r="X33" i="31"/>
  <c r="X7" i="31"/>
  <c r="J143" i="31"/>
  <c r="J144" i="31" s="1"/>
  <c r="U256" i="31"/>
  <c r="AH223" i="31"/>
  <c r="AI220" i="31"/>
  <c r="AI139" i="31"/>
  <c r="AJ139" i="31" s="1"/>
  <c r="V200" i="31"/>
  <c r="U202" i="31"/>
  <c r="AG7" i="31"/>
  <c r="AH4" i="31"/>
  <c r="AH7" i="31" s="1"/>
  <c r="AJ220" i="31"/>
  <c r="W121" i="31"/>
  <c r="X119" i="31"/>
  <c r="V424" i="31"/>
  <c r="W422" i="31"/>
  <c r="AI4" i="31"/>
  <c r="J149" i="31"/>
  <c r="J150" i="31" s="1"/>
  <c r="Y33" i="31"/>
  <c r="Z6" i="31"/>
  <c r="Z7" i="31" s="1"/>
  <c r="AJ328" i="31"/>
  <c r="X235" i="31"/>
  <c r="W389" i="31"/>
  <c r="X389" i="31" s="1"/>
  <c r="AA6" i="31"/>
  <c r="AC6" i="31" s="1"/>
  <c r="AC33" i="31" s="1"/>
  <c r="W391" i="31"/>
  <c r="Y235" i="31"/>
  <c r="Y119" i="31"/>
  <c r="Z119" i="31" s="1"/>
  <c r="X121" i="31"/>
  <c r="Y121" i="31"/>
  <c r="AB121" i="31" s="1"/>
  <c r="AA33" i="31"/>
  <c r="AB33" i="31" s="1"/>
  <c r="AB6" i="31"/>
  <c r="AC168" i="31" s="1"/>
  <c r="Z235" i="31"/>
  <c r="AA233" i="31"/>
  <c r="AB233" i="31" s="1"/>
  <c r="AA235" i="31"/>
  <c r="AC195" i="31"/>
  <c r="AA119" i="31"/>
  <c r="Z121" i="31"/>
  <c r="P455" i="31"/>
  <c r="Q455" i="31"/>
  <c r="R455" i="31" s="1"/>
  <c r="AC222" i="31"/>
  <c r="AA121" i="31"/>
  <c r="AC119" i="31"/>
  <c r="AB119" i="31"/>
  <c r="AD330" i="31"/>
  <c r="AD357" i="31"/>
  <c r="S455" i="31"/>
  <c r="T455" i="31" s="1"/>
  <c r="AD384" i="31"/>
  <c r="U455" i="31"/>
  <c r="V455" i="31" s="1"/>
  <c r="W455" i="31" s="1"/>
  <c r="X455" i="31" s="1"/>
  <c r="Y455" i="31" s="1"/>
  <c r="AG60" i="5"/>
  <c r="AE61" i="5"/>
  <c r="V67" i="5"/>
  <c r="AI58" i="5"/>
  <c r="X58" i="5"/>
  <c r="X61" i="5"/>
  <c r="Z58" i="5"/>
  <c r="AB58" i="5"/>
  <c r="AB61" i="5" s="1"/>
  <c r="AD58" i="5"/>
  <c r="AD61" i="5" s="1"/>
  <c r="AF58" i="5"/>
  <c r="AF61" i="5" s="1"/>
  <c r="Z61" i="5"/>
  <c r="N74" i="5"/>
  <c r="N75" i="5" s="1"/>
  <c r="N63" i="5"/>
  <c r="CV27" i="7"/>
  <c r="DO27" i="7" s="1"/>
  <c r="CU27" i="7"/>
  <c r="DN27" i="7" s="1"/>
  <c r="AO330" i="5"/>
  <c r="AN223" i="5"/>
  <c r="AN384" i="5"/>
  <c r="AL223" i="5"/>
  <c r="AM330" i="5"/>
  <c r="AM357" i="5" s="1"/>
  <c r="AM223" i="5"/>
  <c r="AF142" i="5"/>
  <c r="AG141" i="5"/>
  <c r="X141" i="5"/>
  <c r="X142" i="5" s="1"/>
  <c r="X115" i="5"/>
  <c r="W141" i="5"/>
  <c r="W142" i="5" s="1"/>
  <c r="W115" i="5"/>
  <c r="U144" i="5"/>
  <c r="Y115" i="5"/>
  <c r="Y141" i="5"/>
  <c r="Y142" i="5" s="1"/>
  <c r="AO357" i="5"/>
  <c r="AO384" i="5" s="1"/>
  <c r="AO411" i="5" s="1"/>
  <c r="AN411" i="5"/>
  <c r="AK411" i="5"/>
  <c r="AK385" i="5"/>
  <c r="CS18" i="7"/>
  <c r="DL18" i="7" s="1"/>
  <c r="CU17" i="7"/>
  <c r="DN17" i="7" s="1"/>
  <c r="CV17" i="7"/>
  <c r="DO17" i="7" s="1"/>
  <c r="CS17" i="7"/>
  <c r="AB33" i="5"/>
  <c r="AC33" i="5" s="1"/>
  <c r="CU18" i="7"/>
  <c r="DN18" i="7" s="1"/>
  <c r="DL17" i="7"/>
  <c r="AB34" i="5"/>
  <c r="CV18" i="7"/>
  <c r="CY17" i="7"/>
  <c r="DR17" i="7" s="1"/>
  <c r="DB19" i="7"/>
  <c r="DU19" i="7" s="1"/>
  <c r="CW18" i="7"/>
  <c r="DP18" i="7" s="1"/>
  <c r="CZ18" i="7"/>
  <c r="CY18" i="7"/>
  <c r="DR18" i="7" s="1"/>
  <c r="CX18" i="7"/>
  <c r="DQ18" i="7" s="1"/>
  <c r="AI60" i="5"/>
  <c r="AI6" i="5"/>
  <c r="DD19" i="7"/>
  <c r="DW19" i="7" s="1"/>
  <c r="AI87" i="5"/>
  <c r="AJ60" i="5"/>
  <c r="AJ6" i="5"/>
  <c r="AJ87" i="5"/>
  <c r="AJ114" i="5" s="1"/>
  <c r="DB18" i="7"/>
  <c r="DU18" i="7" s="1"/>
  <c r="DC18" i="7"/>
  <c r="DV18" i="7" s="1"/>
  <c r="DD18" i="7"/>
  <c r="DW18" i="7" s="1"/>
  <c r="CT19" i="7"/>
  <c r="DM19" i="7" s="1"/>
  <c r="CU19" i="7"/>
  <c r="DN19" i="7" s="1"/>
  <c r="DC17" i="7"/>
  <c r="DV17" i="7" s="1"/>
  <c r="CV24" i="7"/>
  <c r="DO24" i="7" s="1"/>
  <c r="CS24" i="7"/>
  <c r="DL24" i="7" s="1"/>
  <c r="CW24" i="7"/>
  <c r="DP24" i="7" s="1"/>
  <c r="CU23" i="7"/>
  <c r="DN23" i="7" s="1"/>
  <c r="CY23" i="7"/>
  <c r="DR23" i="7" s="1"/>
  <c r="DH23" i="7"/>
  <c r="EA23" i="7" s="1"/>
  <c r="DG23" i="7"/>
  <c r="DZ23" i="7" s="1"/>
  <c r="CV23" i="7"/>
  <c r="DO23" i="7" s="1"/>
  <c r="CZ23" i="7"/>
  <c r="DS23" i="7" s="1"/>
  <c r="DC22" i="7"/>
  <c r="DB22" i="7"/>
  <c r="DU22" i="7" s="1"/>
  <c r="CS16" i="7"/>
  <c r="DL16" i="7" s="1"/>
  <c r="CW17" i="7"/>
  <c r="DP17" i="7" s="1"/>
  <c r="DI23" i="7"/>
  <c r="B59" i="29"/>
  <c r="B60" i="29" s="1"/>
  <c r="CW16" i="7"/>
  <c r="DM29" i="7"/>
  <c r="CY19" i="7"/>
  <c r="CW19" i="7"/>
  <c r="DP19" i="7" s="1"/>
  <c r="T420" i="5"/>
  <c r="N317" i="5"/>
  <c r="N318" i="5" s="1"/>
  <c r="N312" i="5"/>
  <c r="O311" i="5"/>
  <c r="O312" i="5" s="1"/>
  <c r="N182" i="5"/>
  <c r="N183" i="5" s="1"/>
  <c r="N68" i="5"/>
  <c r="N69" i="5" s="1"/>
  <c r="O68" i="5"/>
  <c r="O69" i="5" s="1"/>
  <c r="O36" i="5"/>
  <c r="N41" i="5"/>
  <c r="N47" i="5"/>
  <c r="O14" i="5"/>
  <c r="O11" i="5"/>
  <c r="N38" i="5"/>
  <c r="CU26" i="7"/>
  <c r="DN26" i="7" s="1"/>
  <c r="CU16" i="7"/>
  <c r="DN16" i="7" s="1"/>
  <c r="CT16" i="7"/>
  <c r="DM16" i="7" s="1"/>
  <c r="P311" i="5"/>
  <c r="Q311" i="5" s="1"/>
  <c r="Q312" i="5" s="1"/>
  <c r="O182" i="5"/>
  <c r="P182" i="5" s="1"/>
  <c r="O41" i="5"/>
  <c r="CV16" i="7"/>
  <c r="O183" i="5"/>
  <c r="CV26" i="7"/>
  <c r="DO26" i="7" s="1"/>
  <c r="CV20" i="7"/>
  <c r="DO20" i="7" s="1"/>
  <c r="U305" i="5"/>
  <c r="U306" i="5" s="1"/>
  <c r="T305" i="5"/>
  <c r="DF36" i="7"/>
  <c r="X65" i="5"/>
  <c r="X67" i="5" s="1"/>
  <c r="W67" i="5"/>
  <c r="P67" i="5"/>
  <c r="Q67" i="5"/>
  <c r="T22" i="7"/>
  <c r="B31" i="32" s="1"/>
  <c r="CZ19" i="7"/>
  <c r="U462" i="5"/>
  <c r="V462" i="5" s="1"/>
  <c r="W462" i="5" s="1"/>
  <c r="X462" i="5" s="1"/>
  <c r="Y462" i="5" s="1"/>
  <c r="Z462" i="5" s="1"/>
  <c r="AA462" i="5" s="1"/>
  <c r="AB462" i="5" s="1"/>
  <c r="AC462" i="5" s="1"/>
  <c r="AD462" i="5" s="1"/>
  <c r="AE462" i="5" s="1"/>
  <c r="AF462" i="5" s="1"/>
  <c r="AG462" i="5" s="1"/>
  <c r="U455" i="5"/>
  <c r="V455" i="5" s="1"/>
  <c r="W455" i="5" s="1"/>
  <c r="X455" i="5" s="1"/>
  <c r="Y455" i="5" s="1"/>
  <c r="Z455" i="5" s="1"/>
  <c r="T455" i="5"/>
  <c r="T393" i="5"/>
  <c r="T399" i="5"/>
  <c r="S104" i="5"/>
  <c r="O63" i="5"/>
  <c r="I35" i="29"/>
  <c r="R67" i="5"/>
  <c r="T67" i="5" s="1"/>
  <c r="J35" i="29"/>
  <c r="K35" i="29"/>
  <c r="L35" i="29"/>
  <c r="G21" i="30"/>
  <c r="J454" i="5"/>
  <c r="J435" i="5" s="1"/>
  <c r="L454" i="5"/>
  <c r="L435" i="5" s="1"/>
  <c r="K454" i="5"/>
  <c r="K435" i="5" s="1"/>
  <c r="M454" i="5"/>
  <c r="M435" i="5" s="1"/>
  <c r="N454" i="5"/>
  <c r="N435" i="5" s="1"/>
  <c r="O454" i="5"/>
  <c r="O435" i="5" s="1"/>
  <c r="P454" i="5"/>
  <c r="P435" i="5" s="1"/>
  <c r="Q454" i="5"/>
  <c r="Q435" i="5" s="1"/>
  <c r="R454" i="5"/>
  <c r="R435" i="5" s="1"/>
  <c r="S454" i="5"/>
  <c r="S435" i="5" s="1"/>
  <c r="T454" i="5"/>
  <c r="T435" i="5" s="1"/>
  <c r="U454" i="5"/>
  <c r="U435" i="5" s="1"/>
  <c r="V454" i="5"/>
  <c r="V435" i="5" s="1"/>
  <c r="W454" i="5"/>
  <c r="W435" i="5" s="1"/>
  <c r="X454" i="5"/>
  <c r="X435" i="5" s="1"/>
  <c r="Y454" i="5"/>
  <c r="Y435" i="5" s="1"/>
  <c r="Z454" i="5"/>
  <c r="Z435" i="5" s="1"/>
  <c r="AA454" i="5"/>
  <c r="AA435" i="5" s="1"/>
  <c r="AB454" i="5"/>
  <c r="AB435" i="5" s="1"/>
  <c r="AC454" i="5"/>
  <c r="AC435" i="5" s="1"/>
  <c r="AD454" i="5"/>
  <c r="AD435" i="5" s="1"/>
  <c r="AE454" i="5"/>
  <c r="AE435" i="5" s="1"/>
  <c r="AF454" i="5"/>
  <c r="AF435" i="5" s="1"/>
  <c r="G20" i="30"/>
  <c r="DW35" i="28"/>
  <c r="DH37" i="7"/>
  <c r="DD13" i="7"/>
  <c r="Y65" i="5" l="1"/>
  <c r="AD411" i="31"/>
  <c r="X422" i="31"/>
  <c r="W424" i="31"/>
  <c r="H392" i="31"/>
  <c r="H393" i="31" s="1"/>
  <c r="H398" i="31"/>
  <c r="H399" i="31" s="1"/>
  <c r="I386" i="31"/>
  <c r="H387" i="31"/>
  <c r="AK249" i="5"/>
  <c r="AK276" i="5" s="1"/>
  <c r="AK303" i="5" s="1"/>
  <c r="R311" i="5"/>
  <c r="AD119" i="31"/>
  <c r="AD121" i="31" s="1"/>
  <c r="AC121" i="31"/>
  <c r="AC7" i="31"/>
  <c r="AD168" i="31"/>
  <c r="AD7" i="31"/>
  <c r="AD6" i="31"/>
  <c r="AJ382" i="31"/>
  <c r="AI385" i="31"/>
  <c r="U173" i="31"/>
  <c r="T175" i="31"/>
  <c r="T308" i="31"/>
  <c r="S310" i="31"/>
  <c r="M357" i="31"/>
  <c r="M331" i="31"/>
  <c r="G330" i="31"/>
  <c r="G357" i="31" s="1"/>
  <c r="G304" i="31"/>
  <c r="C357" i="31"/>
  <c r="C331" i="31"/>
  <c r="C333" i="31" s="1"/>
  <c r="C347" i="31" s="1"/>
  <c r="C351" i="31" s="1"/>
  <c r="C448" i="31" s="1"/>
  <c r="AI7" i="31"/>
  <c r="AJ4" i="31"/>
  <c r="AJ7" i="31" s="1"/>
  <c r="W200" i="31"/>
  <c r="V202" i="31"/>
  <c r="V256" i="31"/>
  <c r="W254" i="31"/>
  <c r="AH169" i="31"/>
  <c r="AI166" i="31"/>
  <c r="Q169" i="5"/>
  <c r="Q171" i="5" s="1"/>
  <c r="Q195" i="5"/>
  <c r="R71" i="31"/>
  <c r="R73" i="31" s="1"/>
  <c r="R75" i="31" s="1"/>
  <c r="S17" i="31"/>
  <c r="R19" i="31"/>
  <c r="S152" i="31"/>
  <c r="R154" i="31"/>
  <c r="F263" i="31"/>
  <c r="F264" i="31" s="1"/>
  <c r="G251" i="31"/>
  <c r="F257" i="31"/>
  <c r="F258" i="31" s="1"/>
  <c r="F252" i="31"/>
  <c r="Q397" i="31"/>
  <c r="R395" i="31"/>
  <c r="F359" i="31"/>
  <c r="E365" i="31"/>
  <c r="E366" i="31" s="1"/>
  <c r="E371" i="31"/>
  <c r="E372" i="31" s="1"/>
  <c r="U337" i="31"/>
  <c r="V335" i="31"/>
  <c r="AF250" i="31"/>
  <c r="AG247" i="31"/>
  <c r="S181" i="31"/>
  <c r="T179" i="31"/>
  <c r="AA7" i="31"/>
  <c r="Z33" i="31"/>
  <c r="Z115" i="31"/>
  <c r="S196" i="31"/>
  <c r="T40" i="31"/>
  <c r="U38" i="31"/>
  <c r="U368" i="31"/>
  <c r="T370" i="31"/>
  <c r="Z88" i="31"/>
  <c r="AA87" i="31"/>
  <c r="N142" i="31"/>
  <c r="N168" i="31"/>
  <c r="O141" i="31"/>
  <c r="H35" i="31"/>
  <c r="G47" i="31"/>
  <c r="G48" i="31" s="1"/>
  <c r="G41" i="31"/>
  <c r="G42" i="31" s="1"/>
  <c r="E42" i="31"/>
  <c r="U206" i="31"/>
  <c r="T208" i="31"/>
  <c r="G122" i="31"/>
  <c r="G123" i="31" s="1"/>
  <c r="G131" i="31" s="1"/>
  <c r="G135" i="31" s="1"/>
  <c r="G440" i="31" s="1"/>
  <c r="H116" i="31"/>
  <c r="H117" i="31" s="1"/>
  <c r="G128" i="31"/>
  <c r="G129" i="31" s="1"/>
  <c r="G290" i="31"/>
  <c r="G291" i="31" s="1"/>
  <c r="H278" i="31"/>
  <c r="F414" i="31"/>
  <c r="G413" i="31"/>
  <c r="F419" i="31"/>
  <c r="F420" i="31" s="1"/>
  <c r="F401" i="31"/>
  <c r="F405" i="31" s="1"/>
  <c r="F450" i="31" s="1"/>
  <c r="S314" i="31"/>
  <c r="R316" i="31"/>
  <c r="R287" i="31"/>
  <c r="Q289" i="31"/>
  <c r="T168" i="31"/>
  <c r="S169" i="31"/>
  <c r="O257" i="5"/>
  <c r="O258" i="5" s="1"/>
  <c r="P251" i="5"/>
  <c r="O263" i="5"/>
  <c r="O264" i="5" s="1"/>
  <c r="J155" i="31"/>
  <c r="J156" i="31" s="1"/>
  <c r="J158" i="31" s="1"/>
  <c r="K143" i="31"/>
  <c r="I149" i="31"/>
  <c r="I150" i="31" s="1"/>
  <c r="I155" i="31"/>
  <c r="I156" i="31" s="1"/>
  <c r="E104" i="31"/>
  <c r="E108" i="31" s="1"/>
  <c r="E439" i="31" s="1"/>
  <c r="F176" i="31"/>
  <c r="F177" i="31" s="1"/>
  <c r="F171" i="31"/>
  <c r="G170" i="31"/>
  <c r="R343" i="31"/>
  <c r="S341" i="31"/>
  <c r="S362" i="31"/>
  <c r="R364" i="31"/>
  <c r="S416" i="31"/>
  <c r="R418" i="31"/>
  <c r="S260" i="31"/>
  <c r="R262" i="31"/>
  <c r="S146" i="31"/>
  <c r="R148" i="31"/>
  <c r="C63" i="31"/>
  <c r="C77" i="31" s="1"/>
  <c r="C81" i="31" s="1"/>
  <c r="C438" i="31" s="1"/>
  <c r="O61" i="31"/>
  <c r="U149" i="5"/>
  <c r="U150" i="5" s="1"/>
  <c r="U155" i="5"/>
  <c r="V143" i="5"/>
  <c r="G293" i="31"/>
  <c r="V125" i="31"/>
  <c r="U127" i="31"/>
  <c r="G95" i="31"/>
  <c r="G96" i="31" s="1"/>
  <c r="G101" i="31"/>
  <c r="G102" i="31" s="1"/>
  <c r="H89" i="31"/>
  <c r="G90" i="31"/>
  <c r="G104" i="31" s="1"/>
  <c r="G108" i="31" s="1"/>
  <c r="G439" i="31" s="1"/>
  <c r="AF88" i="31"/>
  <c r="AG85" i="31"/>
  <c r="F236" i="31"/>
  <c r="F237" i="31" s="1"/>
  <c r="G224" i="31"/>
  <c r="F230" i="31"/>
  <c r="F231" i="31" s="1"/>
  <c r="F225" i="31"/>
  <c r="R11" i="31"/>
  <c r="Q13" i="31"/>
  <c r="F158" i="31"/>
  <c r="AI114" i="31"/>
  <c r="AI141" i="31" s="1"/>
  <c r="AI142" i="31" s="1"/>
  <c r="AJ87" i="31"/>
  <c r="AJ114" i="31" s="1"/>
  <c r="AJ249" i="31"/>
  <c r="AJ276" i="31" s="1"/>
  <c r="AJ303" i="31" s="1"/>
  <c r="U92" i="31"/>
  <c r="T94" i="31"/>
  <c r="E266" i="31"/>
  <c r="E270" i="31" s="1"/>
  <c r="E445" i="31" s="1"/>
  <c r="R227" i="31"/>
  <c r="G344" i="31"/>
  <c r="G345" i="31" s="1"/>
  <c r="G338" i="31"/>
  <c r="G339" i="31" s="1"/>
  <c r="H332" i="31"/>
  <c r="G392" i="31"/>
  <c r="G393" i="31" s="1"/>
  <c r="G398" i="31"/>
  <c r="G399" i="31" s="1"/>
  <c r="Q305" i="31"/>
  <c r="Q182" i="31"/>
  <c r="P183" i="31"/>
  <c r="I144" i="31"/>
  <c r="AD115" i="31"/>
  <c r="AE112" i="31"/>
  <c r="O88" i="31"/>
  <c r="C90" i="31"/>
  <c r="U424" i="31"/>
  <c r="G133" i="31"/>
  <c r="G295" i="31"/>
  <c r="G155" i="31"/>
  <c r="G156" i="31" s="1"/>
  <c r="G158" i="31" s="1"/>
  <c r="G162" i="31" s="1"/>
  <c r="G441" i="31" s="1"/>
  <c r="F90" i="31"/>
  <c r="F187" i="31"/>
  <c r="F268" i="31"/>
  <c r="AF58" i="31"/>
  <c r="S98" i="31"/>
  <c r="S281" i="31"/>
  <c r="U87" i="31"/>
  <c r="AI33" i="31"/>
  <c r="F197" i="31"/>
  <c r="U398" i="5"/>
  <c r="U399" i="5" s="1"/>
  <c r="U392" i="5"/>
  <c r="U393" i="5" s="1"/>
  <c r="CT50" i="7"/>
  <c r="CT13" i="7"/>
  <c r="H158" i="31"/>
  <c r="G349" i="31"/>
  <c r="G268" i="31"/>
  <c r="G79" i="31"/>
  <c r="H25" i="31"/>
  <c r="O114" i="31"/>
  <c r="F376" i="31"/>
  <c r="F295" i="31"/>
  <c r="F160" i="31"/>
  <c r="F79" i="31"/>
  <c r="E419" i="31"/>
  <c r="E420" i="31" s="1"/>
  <c r="F360" i="31"/>
  <c r="O52" i="5"/>
  <c r="O349" i="5"/>
  <c r="O106" i="5"/>
  <c r="O295" i="5"/>
  <c r="O160" i="5"/>
  <c r="O162" i="5" s="1"/>
  <c r="O441" i="5" s="1"/>
  <c r="O133" i="5"/>
  <c r="O268" i="5"/>
  <c r="O403" i="5"/>
  <c r="O187" i="5"/>
  <c r="O430" i="5"/>
  <c r="O214" i="5"/>
  <c r="O322" i="5"/>
  <c r="P25" i="5"/>
  <c r="O79" i="5"/>
  <c r="O241" i="5"/>
  <c r="AE141" i="5"/>
  <c r="AE142" i="5" s="1"/>
  <c r="AE115" i="5"/>
  <c r="W310" i="5"/>
  <c r="X308" i="5"/>
  <c r="F104" i="31"/>
  <c r="F108" i="31" s="1"/>
  <c r="F439" i="31" s="1"/>
  <c r="E212" i="31"/>
  <c r="D401" i="31"/>
  <c r="D405" i="31" s="1"/>
  <c r="D450" i="31" s="1"/>
  <c r="Y88" i="31"/>
  <c r="Y114" i="31"/>
  <c r="F8" i="31"/>
  <c r="E9" i="31"/>
  <c r="E131" i="31"/>
  <c r="O135" i="5"/>
  <c r="O440" i="5" s="1"/>
  <c r="Y395" i="5"/>
  <c r="X397" i="5"/>
  <c r="DM25" i="28"/>
  <c r="G36" i="28"/>
  <c r="G30" i="28"/>
  <c r="CT30" i="28" s="1"/>
  <c r="DM30" i="28" s="1"/>
  <c r="H25" i="28"/>
  <c r="E230" i="31"/>
  <c r="E231" i="31" s="1"/>
  <c r="E52" i="31"/>
  <c r="E133" i="31"/>
  <c r="E214" i="31"/>
  <c r="K304" i="31"/>
  <c r="K306" i="31" s="1"/>
  <c r="K320" i="31" s="1"/>
  <c r="E324" i="31"/>
  <c r="E447" i="31" s="1"/>
  <c r="J320" i="31"/>
  <c r="D239" i="31"/>
  <c r="D243" i="31" s="1"/>
  <c r="D444" i="31" s="1"/>
  <c r="T7" i="31"/>
  <c r="M77" i="31"/>
  <c r="T419" i="5"/>
  <c r="T425" i="5"/>
  <c r="T284" i="5"/>
  <c r="T290" i="5"/>
  <c r="U371" i="5"/>
  <c r="U372" i="5" s="1"/>
  <c r="V359" i="5"/>
  <c r="AC115" i="5"/>
  <c r="AC141" i="5"/>
  <c r="AC142" i="5" s="1"/>
  <c r="AG142" i="5" s="1"/>
  <c r="AA362" i="5"/>
  <c r="Z364" i="5"/>
  <c r="X254" i="5"/>
  <c r="W256" i="5"/>
  <c r="O20" i="5"/>
  <c r="O21" i="5" s="1"/>
  <c r="P8" i="5"/>
  <c r="X278" i="5"/>
  <c r="W284" i="5"/>
  <c r="W285" i="5" s="1"/>
  <c r="Z141" i="5"/>
  <c r="Z142" i="5" s="1"/>
  <c r="Z115" i="5"/>
  <c r="AD141" i="5"/>
  <c r="AD142" i="5" s="1"/>
  <c r="AD115" i="5"/>
  <c r="X422" i="5"/>
  <c r="W424" i="5"/>
  <c r="X412" i="5"/>
  <c r="Y411" i="5"/>
  <c r="X389" i="5"/>
  <c r="W391" i="5"/>
  <c r="V343" i="5"/>
  <c r="W341" i="5"/>
  <c r="V418" i="5"/>
  <c r="W416" i="5"/>
  <c r="AE32" i="28"/>
  <c r="DD29" i="28"/>
  <c r="DW29" i="28" s="1"/>
  <c r="DW32" i="28" s="1"/>
  <c r="T29" i="28"/>
  <c r="U24" i="28"/>
  <c r="D185" i="31"/>
  <c r="D189" i="31" s="1"/>
  <c r="D442" i="31" s="1"/>
  <c r="P104" i="5"/>
  <c r="O9" i="5"/>
  <c r="AJ223" i="5"/>
  <c r="AI223" i="5"/>
  <c r="T344" i="5"/>
  <c r="AG73" i="5"/>
  <c r="X168" i="5"/>
  <c r="W195" i="5"/>
  <c r="W169" i="5"/>
  <c r="W206" i="5"/>
  <c r="W208" i="5" s="1"/>
  <c r="X370" i="5"/>
  <c r="Y368" i="5"/>
  <c r="DQ40" i="28"/>
  <c r="CX40" i="28"/>
  <c r="F36" i="28"/>
  <c r="F30" i="28"/>
  <c r="CS30" i="28" s="1"/>
  <c r="DL30" i="28" s="1"/>
  <c r="R168" i="5"/>
  <c r="AA283" i="5"/>
  <c r="X125" i="5"/>
  <c r="Y125" i="5" s="1"/>
  <c r="X7" i="5"/>
  <c r="X337" i="5"/>
  <c r="V289" i="5"/>
  <c r="V291" i="5" s="1"/>
  <c r="V293" i="5" s="1"/>
  <c r="X146" i="5"/>
  <c r="L24" i="28"/>
  <c r="I40" i="28"/>
  <c r="CV40" i="28" s="1"/>
  <c r="U26" i="28"/>
  <c r="I29" i="28"/>
  <c r="CV29" i="28" s="1"/>
  <c r="Q43" i="28"/>
  <c r="AE31" i="28"/>
  <c r="DD31" i="28" s="1"/>
  <c r="DW31" i="28" s="1"/>
  <c r="AE37" i="28"/>
  <c r="AE42" i="28" s="1"/>
  <c r="E41" i="28"/>
  <c r="DK36" i="28"/>
  <c r="AC64" i="6"/>
  <c r="O64" i="6"/>
  <c r="AE68" i="6"/>
  <c r="Z68" i="6"/>
  <c r="V68" i="6"/>
  <c r="O44" i="2"/>
  <c r="AJ385" i="5"/>
  <c r="U285" i="5"/>
  <c r="H35" i="28"/>
  <c r="H29" i="28"/>
  <c r="CU29" i="28" s="1"/>
  <c r="DN29" i="28" s="1"/>
  <c r="AO223" i="5"/>
  <c r="Q30" i="28"/>
  <c r="Q32" i="28" s="1"/>
  <c r="R25" i="28"/>
  <c r="D42" i="28"/>
  <c r="CQ42" i="28" s="1"/>
  <c r="DJ42" i="28" s="1"/>
  <c r="DJ37" i="28"/>
  <c r="AD30" i="28"/>
  <c r="AD32" i="28" s="1"/>
  <c r="AD36" i="28"/>
  <c r="AD41" i="28" s="1"/>
  <c r="DR21" i="28"/>
  <c r="DJ21" i="28"/>
  <c r="DV10" i="28"/>
  <c r="DV12" i="28" s="1"/>
  <c r="DC12" i="28"/>
  <c r="DL25" i="28"/>
  <c r="DC35" i="28"/>
  <c r="DV35" i="28" s="1"/>
  <c r="DC21" i="28"/>
  <c r="O49" i="6"/>
  <c r="DX25" i="28"/>
  <c r="AC54" i="6"/>
  <c r="O54" i="6"/>
  <c r="AC49" i="6"/>
  <c r="DS7" i="28"/>
  <c r="DY12" i="28"/>
  <c r="P127" i="5"/>
  <c r="T126" i="5"/>
  <c r="E11" i="31"/>
  <c r="D13" i="31"/>
  <c r="Z31" i="31"/>
  <c r="V31" i="31"/>
  <c r="V34" i="31" s="1"/>
  <c r="R31" i="31"/>
  <c r="R34" i="31" s="1"/>
  <c r="AC31" i="31"/>
  <c r="X31" i="31"/>
  <c r="X34" i="31" s="1"/>
  <c r="T31" i="31"/>
  <c r="T34" i="31" s="1"/>
  <c r="P31" i="31"/>
  <c r="P34" i="31" s="1"/>
  <c r="AA31" i="31"/>
  <c r="AA34" i="31" s="1"/>
  <c r="W31" i="31"/>
  <c r="W34" i="31" s="1"/>
  <c r="S31" i="31"/>
  <c r="S34" i="31" s="1"/>
  <c r="AC274" i="31"/>
  <c r="AD274" i="31" s="1"/>
  <c r="AE274" i="31" s="1"/>
  <c r="X274" i="31"/>
  <c r="T274" i="31"/>
  <c r="Z274" i="31"/>
  <c r="V274" i="31"/>
  <c r="R274" i="31"/>
  <c r="Y274" i="31"/>
  <c r="U274" i="31"/>
  <c r="Q274" i="31"/>
  <c r="Q277" i="31" s="1"/>
  <c r="P274" i="31"/>
  <c r="P277" i="31" s="1"/>
  <c r="W274" i="31"/>
  <c r="S274" i="31"/>
  <c r="E68" i="6"/>
  <c r="O59" i="6"/>
  <c r="AA42" i="6"/>
  <c r="O32" i="6"/>
  <c r="O20" i="6"/>
  <c r="O12" i="6"/>
  <c r="F42" i="2"/>
  <c r="F44" i="2" s="1"/>
  <c r="O34" i="2"/>
  <c r="O46" i="2" s="1"/>
  <c r="AE7" i="28"/>
  <c r="AG7" i="28"/>
  <c r="CS7" i="28"/>
  <c r="CU7" i="28"/>
  <c r="CW7" i="28"/>
  <c r="CY7" i="28"/>
  <c r="DA7" i="28"/>
  <c r="DJ11" i="28"/>
  <c r="DU11" i="28" s="1"/>
  <c r="CQ12" i="28"/>
  <c r="Q31" i="31"/>
  <c r="Q34" i="31" s="1"/>
  <c r="DB21" i="28"/>
  <c r="DW26" i="28"/>
  <c r="DM35" i="28"/>
  <c r="B25" i="10"/>
  <c r="B37" i="10" s="1"/>
  <c r="C42" i="24"/>
  <c r="C44" i="24" s="1"/>
  <c r="AD24" i="17"/>
  <c r="R68" i="6"/>
  <c r="W42" i="6"/>
  <c r="DT12" i="28"/>
  <c r="AC12" i="28"/>
  <c r="N121" i="5"/>
  <c r="T120" i="5"/>
  <c r="AH355" i="5"/>
  <c r="AI355" i="5" s="1"/>
  <c r="AJ355" i="5" s="1"/>
  <c r="W355" i="5"/>
  <c r="W358" i="5" s="1"/>
  <c r="D34" i="31"/>
  <c r="U31" i="31"/>
  <c r="U34" i="31" s="1"/>
  <c r="S42" i="6"/>
  <c r="AC32" i="6"/>
  <c r="AC26" i="6"/>
  <c r="O26" i="6"/>
  <c r="AC20" i="6"/>
  <c r="DQ7" i="28"/>
  <c r="DO7" i="28"/>
  <c r="O7" i="28"/>
  <c r="N424" i="5"/>
  <c r="T424" i="5" s="1"/>
  <c r="T423" i="5"/>
  <c r="Y31" i="31"/>
  <c r="Y34" i="31" s="1"/>
  <c r="O12" i="2"/>
  <c r="DL7" i="28"/>
  <c r="DN7" i="28"/>
  <c r="DP7" i="28"/>
  <c r="DR7" i="28"/>
  <c r="DT7" i="28"/>
  <c r="DM7" i="28"/>
  <c r="DK7" i="28"/>
  <c r="DN12" i="28"/>
  <c r="DP12" i="28"/>
  <c r="DX12" i="28"/>
  <c r="DO12" i="28"/>
  <c r="O12" i="28"/>
  <c r="DK21" i="28"/>
  <c r="DO21" i="28"/>
  <c r="DS21" i="28"/>
  <c r="DY21" i="28"/>
  <c r="DU20" i="28"/>
  <c r="U208" i="5"/>
  <c r="U262" i="5"/>
  <c r="F34" i="31"/>
  <c r="F36" i="31" s="1"/>
  <c r="F50" i="31" s="1"/>
  <c r="F54" i="31" s="1"/>
  <c r="F437" i="31" s="1"/>
  <c r="J34" i="31"/>
  <c r="N34" i="31"/>
  <c r="AB39" i="31"/>
  <c r="P112" i="31"/>
  <c r="P115" i="31" s="1"/>
  <c r="T112" i="31"/>
  <c r="T115" i="31" s="1"/>
  <c r="W112" i="31"/>
  <c r="W115" i="31" s="1"/>
  <c r="AA112" i="31"/>
  <c r="AB315" i="31"/>
  <c r="DF12" i="28"/>
  <c r="DS12" i="28"/>
  <c r="C32" i="28"/>
  <c r="AG336" i="5"/>
  <c r="G34" i="31"/>
  <c r="G36" i="31" s="1"/>
  <c r="Q58" i="31"/>
  <c r="Q61" i="31" s="1"/>
  <c r="S58" i="31"/>
  <c r="S61" i="31" s="1"/>
  <c r="U58" i="31"/>
  <c r="U61" i="31" s="1"/>
  <c r="W58" i="31"/>
  <c r="W61" i="31" s="1"/>
  <c r="Y58" i="31"/>
  <c r="Y61" i="31" s="1"/>
  <c r="P100" i="31"/>
  <c r="X193" i="31"/>
  <c r="P193" i="31"/>
  <c r="P196" i="31" s="1"/>
  <c r="AC193" i="31"/>
  <c r="T193" i="31"/>
  <c r="Z193" i="31"/>
  <c r="R193" i="31"/>
  <c r="R196" i="31" s="1"/>
  <c r="P202" i="31"/>
  <c r="AB201" i="31"/>
  <c r="DK12" i="28"/>
  <c r="DU19" i="28"/>
  <c r="U154" i="5"/>
  <c r="AG228" i="5"/>
  <c r="V337" i="5"/>
  <c r="AG342" i="5"/>
  <c r="I34" i="31"/>
  <c r="AB120" i="31"/>
  <c r="P235" i="31"/>
  <c r="AB234" i="31"/>
  <c r="AC301" i="31"/>
  <c r="AD301" i="31" s="1"/>
  <c r="AE301" i="31" s="1"/>
  <c r="X301" i="31"/>
  <c r="X304" i="31" s="1"/>
  <c r="T301" i="31"/>
  <c r="T304" i="31" s="1"/>
  <c r="P301" i="31"/>
  <c r="P304" i="31" s="1"/>
  <c r="AB304" i="31" s="1"/>
  <c r="Z301" i="31"/>
  <c r="Z304" i="31" s="1"/>
  <c r="V301" i="31"/>
  <c r="V304" i="31" s="1"/>
  <c r="R301" i="31"/>
  <c r="R304" i="31" s="1"/>
  <c r="Y301" i="31"/>
  <c r="Y304" i="31" s="1"/>
  <c r="U301" i="31"/>
  <c r="U304" i="31" s="1"/>
  <c r="Q301" i="31"/>
  <c r="Q304" i="31" s="1"/>
  <c r="AC409" i="31"/>
  <c r="AD409" i="31" s="1"/>
  <c r="S409" i="31"/>
  <c r="P409" i="31"/>
  <c r="P412" i="31" s="1"/>
  <c r="U409" i="31"/>
  <c r="Q409" i="31"/>
  <c r="Q412" i="31" s="1"/>
  <c r="T409" i="31"/>
  <c r="P418" i="31"/>
  <c r="AB417" i="31"/>
  <c r="AI168" i="1"/>
  <c r="AI40" i="5"/>
  <c r="AM168" i="1"/>
  <c r="AM40" i="5"/>
  <c r="Q166" i="31"/>
  <c r="Q169" i="31" s="1"/>
  <c r="U166" i="31"/>
  <c r="Z166" i="31"/>
  <c r="P247" i="31"/>
  <c r="P250" i="31" s="1"/>
  <c r="T247" i="31"/>
  <c r="X247" i="31"/>
  <c r="X250" i="31" s="1"/>
  <c r="AB282" i="31"/>
  <c r="T328" i="31"/>
  <c r="X328" i="31"/>
  <c r="P382" i="31"/>
  <c r="P385" i="31" s="1"/>
  <c r="R382" i="31"/>
  <c r="R385" i="31" s="1"/>
  <c r="V382" i="31"/>
  <c r="Z382" i="31"/>
  <c r="AB396" i="31"/>
  <c r="P424" i="31"/>
  <c r="P34" i="5"/>
  <c r="AC31" i="5"/>
  <c r="W58" i="5"/>
  <c r="W61" i="5" s="1"/>
  <c r="AB228" i="31"/>
  <c r="AB336" i="31"/>
  <c r="AB342" i="31"/>
  <c r="AB363" i="31"/>
  <c r="AB369" i="31"/>
  <c r="AB423" i="31"/>
  <c r="AG39" i="5"/>
  <c r="S34" i="5"/>
  <c r="AA58" i="5"/>
  <c r="AA61" i="5" s="1"/>
  <c r="P69" i="1"/>
  <c r="T166" i="31"/>
  <c r="T169" i="31" s="1"/>
  <c r="X166" i="31"/>
  <c r="AB255" i="31"/>
  <c r="AB261" i="31"/>
  <c r="AL15" i="7"/>
  <c r="H43" i="33"/>
  <c r="AJ15" i="7"/>
  <c r="F43" i="33"/>
  <c r="AH15" i="7"/>
  <c r="D43" i="33"/>
  <c r="AK15" i="7"/>
  <c r="G43" i="33"/>
  <c r="AI15" i="7"/>
  <c r="E43" i="33"/>
  <c r="AG15" i="7"/>
  <c r="C43" i="33"/>
  <c r="CW26" i="7"/>
  <c r="DP26" i="7" s="1"/>
  <c r="CV13" i="7"/>
  <c r="DA37" i="7"/>
  <c r="DC13" i="7"/>
  <c r="CU50" i="7"/>
  <c r="AF24" i="28"/>
  <c r="AG24" i="28" s="1"/>
  <c r="DQ35" i="28"/>
  <c r="DV4" i="28"/>
  <c r="DV7" i="28" s="1"/>
  <c r="DV18" i="28"/>
  <c r="DV21" i="28" s="1"/>
  <c r="AC42" i="6"/>
  <c r="O42" i="6"/>
  <c r="DX24" i="28"/>
  <c r="DD37" i="7"/>
  <c r="DB13" i="7"/>
  <c r="DB37" i="7"/>
  <c r="AF26" i="28"/>
  <c r="AF37" i="28" s="1"/>
  <c r="DY25" i="28"/>
  <c r="E44" i="29"/>
  <c r="B62" i="29"/>
  <c r="Q182" i="5"/>
  <c r="Q183" i="5" s="1"/>
  <c r="P183" i="5"/>
  <c r="AD33" i="5"/>
  <c r="AC34" i="5"/>
  <c r="Z455" i="31"/>
  <c r="N77" i="5"/>
  <c r="N81" i="5" s="1"/>
  <c r="N438" i="5" s="1"/>
  <c r="Y389" i="31"/>
  <c r="X391" i="31"/>
  <c r="AC233" i="31"/>
  <c r="O40" i="31"/>
  <c r="E239" i="31"/>
  <c r="E158" i="31"/>
  <c r="E162" i="31" s="1"/>
  <c r="E441" i="31" s="1"/>
  <c r="F293" i="31"/>
  <c r="F297" i="31" s="1"/>
  <c r="F446" i="31" s="1"/>
  <c r="D374" i="31"/>
  <c r="D378" i="31" s="1"/>
  <c r="D449" i="31" s="1"/>
  <c r="S311" i="31"/>
  <c r="R312" i="31"/>
  <c r="D347" i="31"/>
  <c r="D131" i="31"/>
  <c r="E50" i="31"/>
  <c r="M384" i="31"/>
  <c r="M358" i="31"/>
  <c r="E357" i="31"/>
  <c r="E331" i="31"/>
  <c r="C358" i="31"/>
  <c r="C384" i="31"/>
  <c r="S62" i="31"/>
  <c r="R63" i="31"/>
  <c r="I77" i="31"/>
  <c r="AJ355" i="31"/>
  <c r="AI358" i="31"/>
  <c r="AJ141" i="31"/>
  <c r="AJ142" i="31" s="1"/>
  <c r="AJ330" i="31"/>
  <c r="AJ357" i="31" s="1"/>
  <c r="AJ384" i="31" s="1"/>
  <c r="AI223" i="31"/>
  <c r="AJ223" i="31"/>
  <c r="AI303" i="31"/>
  <c r="D428" i="31"/>
  <c r="D432" i="31" s="1"/>
  <c r="D451" i="31" s="1"/>
  <c r="R317" i="31"/>
  <c r="Q318" i="31"/>
  <c r="AE142" i="31"/>
  <c r="AD142" i="31"/>
  <c r="D293" i="31"/>
  <c r="F131" i="31"/>
  <c r="F135" i="31" s="1"/>
  <c r="F440" i="31" s="1"/>
  <c r="AB74" i="31"/>
  <c r="AC74" i="31"/>
  <c r="D77" i="31"/>
  <c r="AC68" i="31"/>
  <c r="AB68" i="31"/>
  <c r="K357" i="31"/>
  <c r="K331" i="31"/>
  <c r="I384" i="31"/>
  <c r="I358" i="31"/>
  <c r="E293" i="31"/>
  <c r="E297" i="31" s="1"/>
  <c r="E446" i="31" s="1"/>
  <c r="P77" i="31"/>
  <c r="O63" i="31"/>
  <c r="V176" i="5"/>
  <c r="V177" i="5" s="1"/>
  <c r="W170" i="5"/>
  <c r="V89" i="5"/>
  <c r="U101" i="5"/>
  <c r="U102" i="5" s="1"/>
  <c r="U176" i="5"/>
  <c r="U177" i="5" s="1"/>
  <c r="U171" i="5"/>
  <c r="U419" i="5"/>
  <c r="U420" i="5" s="1"/>
  <c r="U414" i="5"/>
  <c r="U428" i="5" s="1"/>
  <c r="Z395" i="5"/>
  <c r="Y397" i="5"/>
  <c r="AA364" i="5"/>
  <c r="AB362" i="5"/>
  <c r="Z154" i="5"/>
  <c r="AA152" i="5"/>
  <c r="X424" i="5"/>
  <c r="Y422" i="5"/>
  <c r="Y127" i="5"/>
  <c r="Z125" i="5"/>
  <c r="U90" i="5"/>
  <c r="AD385" i="5"/>
  <c r="X181" i="5"/>
  <c r="Y179" i="5"/>
  <c r="R305" i="31"/>
  <c r="AL385" i="5"/>
  <c r="AN196" i="5"/>
  <c r="AK223" i="5"/>
  <c r="W290" i="5"/>
  <c r="W279" i="5"/>
  <c r="V144" i="5"/>
  <c r="V155" i="5"/>
  <c r="V156" i="5" s="1"/>
  <c r="U209" i="5"/>
  <c r="U210" i="5" s="1"/>
  <c r="V197" i="5"/>
  <c r="V419" i="5"/>
  <c r="V420" i="5" s="1"/>
  <c r="V428" i="5" s="1"/>
  <c r="W413" i="5"/>
  <c r="U344" i="5"/>
  <c r="U345" i="5" s="1"/>
  <c r="V332" i="5"/>
  <c r="U122" i="5"/>
  <c r="U123" i="5" s="1"/>
  <c r="U131" i="5" s="1"/>
  <c r="V116" i="5"/>
  <c r="AB283" i="5"/>
  <c r="AC281" i="5"/>
  <c r="N141" i="5"/>
  <c r="N115" i="5"/>
  <c r="AG330" i="5"/>
  <c r="AF331" i="5"/>
  <c r="AF384" i="5"/>
  <c r="AE385" i="5"/>
  <c r="X233" i="5"/>
  <c r="X235" i="5" s="1"/>
  <c r="W235" i="5"/>
  <c r="W289" i="5"/>
  <c r="X287" i="5"/>
  <c r="DQ29" i="28"/>
  <c r="DO29" i="28"/>
  <c r="T210" i="5"/>
  <c r="U360" i="5"/>
  <c r="V386" i="5"/>
  <c r="P322" i="5"/>
  <c r="P349" i="5"/>
  <c r="P430" i="5"/>
  <c r="P133" i="5"/>
  <c r="P376" i="5"/>
  <c r="P187" i="5"/>
  <c r="P403" i="5"/>
  <c r="P160" i="5"/>
  <c r="AC385" i="5"/>
  <c r="AG385" i="5" s="1"/>
  <c r="X127" i="5"/>
  <c r="X173" i="5"/>
  <c r="U19" i="5"/>
  <c r="S114" i="5"/>
  <c r="Y6" i="5"/>
  <c r="V17" i="5"/>
  <c r="X206" i="5"/>
  <c r="W181" i="5"/>
  <c r="V262" i="5"/>
  <c r="AF29" i="28"/>
  <c r="CZ37" i="7"/>
  <c r="CV37" i="7"/>
  <c r="DC37" i="7"/>
  <c r="AD8" i="18"/>
  <c r="AG36" i="28"/>
  <c r="DP40" i="28"/>
  <c r="DO40" i="28"/>
  <c r="BD24" i="17"/>
  <c r="O68" i="6"/>
  <c r="AC68" i="6"/>
  <c r="DX5" i="28"/>
  <c r="DX7" i="28" s="1"/>
  <c r="DE7" i="28"/>
  <c r="DU5" i="28"/>
  <c r="DI7" i="28"/>
  <c r="DU6" i="28"/>
  <c r="D40" i="28"/>
  <c r="DJ35" i="28"/>
  <c r="O185" i="5"/>
  <c r="O189" i="5" s="1"/>
  <c r="O442" i="5" s="1"/>
  <c r="CQ32" i="28"/>
  <c r="DJ30" i="28"/>
  <c r="E6" i="4"/>
  <c r="F4" i="4"/>
  <c r="DW4" i="28"/>
  <c r="DW7" i="28" s="1"/>
  <c r="DD7" i="28"/>
  <c r="DY4" i="28"/>
  <c r="DY7" i="28" s="1"/>
  <c r="DF7" i="28"/>
  <c r="DU4" i="28"/>
  <c r="DJ7" i="28"/>
  <c r="DU10" i="28"/>
  <c r="DU18" i="28"/>
  <c r="DI21" i="28"/>
  <c r="E37" i="28"/>
  <c r="F26" i="28"/>
  <c r="E31" i="28"/>
  <c r="DK26" i="28"/>
  <c r="DI31" i="28"/>
  <c r="CP32" i="28"/>
  <c r="C43" i="28"/>
  <c r="CP42" i="28"/>
  <c r="AC38" i="6"/>
  <c r="DA12" i="28"/>
  <c r="DB12" i="28" s="1"/>
  <c r="DE12" i="28"/>
  <c r="T60" i="5"/>
  <c r="G33" i="5"/>
  <c r="G60" i="5"/>
  <c r="AG126" i="5"/>
  <c r="AF4" i="5"/>
  <c r="AH4" i="5"/>
  <c r="AA85" i="5"/>
  <c r="AA88" i="5" s="1"/>
  <c r="AG88" i="5" s="1"/>
  <c r="AH85" i="5"/>
  <c r="AC220" i="5"/>
  <c r="AE274" i="5"/>
  <c r="U289" i="5"/>
  <c r="AE328" i="5"/>
  <c r="AE331" i="5" s="1"/>
  <c r="AH328" i="5"/>
  <c r="AA355" i="5"/>
  <c r="AA358" i="5" s="1"/>
  <c r="U382" i="5"/>
  <c r="U385" i="5" s="1"/>
  <c r="U387" i="5" s="1"/>
  <c r="I4" i="5"/>
  <c r="I7" i="5" s="1"/>
  <c r="I9" i="5" s="1"/>
  <c r="K4" i="5"/>
  <c r="K7" i="5" s="1"/>
  <c r="K9" i="5" s="1"/>
  <c r="M4" i="5"/>
  <c r="M7" i="5" s="1"/>
  <c r="M9" i="5" s="1"/>
  <c r="J4" i="5"/>
  <c r="J7" i="5" s="1"/>
  <c r="J9" i="5" s="1"/>
  <c r="L4" i="5"/>
  <c r="L7" i="5" s="1"/>
  <c r="L9" i="5" s="1"/>
  <c r="H4" i="5"/>
  <c r="H7" i="5" s="1"/>
  <c r="R114" i="31"/>
  <c r="R88" i="31"/>
  <c r="S330" i="31"/>
  <c r="R331" i="31"/>
  <c r="M26" i="16"/>
  <c r="N26" i="16" s="1"/>
  <c r="O26" i="16" s="1"/>
  <c r="P26" i="16" s="1"/>
  <c r="Q26" i="16" s="1"/>
  <c r="R26" i="16" s="1"/>
  <c r="S26" i="16" s="1"/>
  <c r="J69" i="31"/>
  <c r="L69" i="31"/>
  <c r="L77" i="31" s="1"/>
  <c r="N69" i="31"/>
  <c r="N77" i="31" s="1"/>
  <c r="F75" i="31"/>
  <c r="G75" i="31"/>
  <c r="J75" i="31"/>
  <c r="K75" i="31"/>
  <c r="K77" i="31" s="1"/>
  <c r="N75" i="31"/>
  <c r="D102" i="31"/>
  <c r="D156" i="31"/>
  <c r="F183" i="31"/>
  <c r="G183" i="31"/>
  <c r="J183" i="31"/>
  <c r="K183" i="31"/>
  <c r="N183" i="31"/>
  <c r="D210" i="31"/>
  <c r="R250" i="31"/>
  <c r="T250" i="31"/>
  <c r="V250" i="31"/>
  <c r="Z250" i="31"/>
  <c r="S276" i="31"/>
  <c r="R277" i="31"/>
  <c r="S357" i="31"/>
  <c r="R358" i="31"/>
  <c r="T384" i="31"/>
  <c r="S385" i="31"/>
  <c r="S411" i="31"/>
  <c r="R412" i="31"/>
  <c r="Y166" i="31"/>
  <c r="AA166" i="31"/>
  <c r="V409" i="31"/>
  <c r="W409" i="31"/>
  <c r="X409" i="31"/>
  <c r="Y409" i="31"/>
  <c r="Z409" i="31"/>
  <c r="AA409" i="31"/>
  <c r="Q34" i="5"/>
  <c r="R34" i="5"/>
  <c r="W31" i="5"/>
  <c r="W34" i="5" s="1"/>
  <c r="AA31" i="5"/>
  <c r="AA34" i="5" s="1"/>
  <c r="AE31" i="5"/>
  <c r="AG45" i="5"/>
  <c r="M187" i="5"/>
  <c r="M108" i="5"/>
  <c r="M439" i="5" s="1"/>
  <c r="L241" i="5"/>
  <c r="L322" i="5" s="1"/>
  <c r="L162" i="5"/>
  <c r="L441" i="5" s="1"/>
  <c r="K349" i="5"/>
  <c r="K270" i="5"/>
  <c r="K445" i="5" s="1"/>
  <c r="L239" i="5"/>
  <c r="L243" i="5" s="1"/>
  <c r="L444" i="5" s="1"/>
  <c r="Y100" i="1"/>
  <c r="X107" i="1"/>
  <c r="K295" i="5"/>
  <c r="K216" i="5"/>
  <c r="K443" i="5" s="1"/>
  <c r="K403" i="5"/>
  <c r="K405" i="5" s="1"/>
  <c r="K450" i="5" s="1"/>
  <c r="K324" i="5"/>
  <c r="K447" i="5" s="1"/>
  <c r="X85" i="31"/>
  <c r="X88" i="31" s="1"/>
  <c r="Q114" i="31"/>
  <c r="AA247" i="31"/>
  <c r="AA250" i="31" s="1"/>
  <c r="AA274" i="31"/>
  <c r="AA328" i="31"/>
  <c r="AA355" i="31"/>
  <c r="AA382" i="31"/>
  <c r="M133" i="5"/>
  <c r="M54" i="5"/>
  <c r="M437" i="5" s="1"/>
  <c r="M160" i="5"/>
  <c r="M81" i="5"/>
  <c r="M438" i="5" s="1"/>
  <c r="M230" i="5"/>
  <c r="M231" i="5" s="1"/>
  <c r="N224" i="5"/>
  <c r="M225" i="5"/>
  <c r="M236" i="5"/>
  <c r="M237" i="5" s="1"/>
  <c r="J430" i="5"/>
  <c r="J432" i="5" s="1"/>
  <c r="J451" i="5" s="1"/>
  <c r="J351" i="5"/>
  <c r="J448" i="5" s="1"/>
  <c r="J376" i="5"/>
  <c r="J378" i="5" s="1"/>
  <c r="J449" i="5" s="1"/>
  <c r="J297" i="5"/>
  <c r="J446" i="5" s="1"/>
  <c r="L268" i="5"/>
  <c r="L189" i="5"/>
  <c r="L442" i="5" s="1"/>
  <c r="L214" i="5"/>
  <c r="L135" i="5"/>
  <c r="L440" i="5" s="1"/>
  <c r="F243" i="5"/>
  <c r="G239" i="5"/>
  <c r="G277" i="5"/>
  <c r="F279" i="5"/>
  <c r="F330" i="5"/>
  <c r="G303" i="5"/>
  <c r="F304" i="5"/>
  <c r="F266" i="5"/>
  <c r="G252" i="5"/>
  <c r="F443" i="5"/>
  <c r="G216" i="5"/>
  <c r="G443" i="5" s="1"/>
  <c r="M76" i="1"/>
  <c r="M26" i="7" s="1"/>
  <c r="O63" i="1"/>
  <c r="N65" i="1"/>
  <c r="N70" i="1"/>
  <c r="N72" i="1" s="1"/>
  <c r="Q46" i="1"/>
  <c r="P24" i="7"/>
  <c r="M89" i="1"/>
  <c r="L93" i="1"/>
  <c r="L27" i="7" s="1"/>
  <c r="CW27" i="7" s="1"/>
  <c r="I23" i="16"/>
  <c r="H142" i="1"/>
  <c r="I20" i="16"/>
  <c r="H139" i="1"/>
  <c r="AI31" i="5"/>
  <c r="AK113" i="5"/>
  <c r="AL113" i="5" s="1"/>
  <c r="AM113" i="5" s="1"/>
  <c r="AN113" i="5" s="1"/>
  <c r="AO113" i="5" s="1"/>
  <c r="AJ112" i="5"/>
  <c r="AK167" i="5"/>
  <c r="AL167" i="5" s="1"/>
  <c r="AM167" i="5" s="1"/>
  <c r="AN167" i="5" s="1"/>
  <c r="AO167" i="5" s="1"/>
  <c r="AJ166" i="5"/>
  <c r="AK410" i="5"/>
  <c r="AL410" i="5" s="1"/>
  <c r="AM410" i="5" s="1"/>
  <c r="AN410" i="5" s="1"/>
  <c r="AO410" i="5" s="1"/>
  <c r="AJ409" i="5"/>
  <c r="DX7" i="7"/>
  <c r="M23" i="5"/>
  <c r="M27" i="5" s="1"/>
  <c r="M436" i="5" s="1"/>
  <c r="Q104" i="5"/>
  <c r="R104" i="5"/>
  <c r="R182" i="5"/>
  <c r="S182" i="5" s="1"/>
  <c r="S183" i="5" s="1"/>
  <c r="O317" i="5"/>
  <c r="U347" i="5"/>
  <c r="V371" i="5"/>
  <c r="V372" i="5" s="1"/>
  <c r="U374" i="5"/>
  <c r="T366" i="5"/>
  <c r="T345" i="5"/>
  <c r="T291" i="5"/>
  <c r="T285" i="5"/>
  <c r="N14" i="5"/>
  <c r="N15" i="5" s="1"/>
  <c r="N9" i="5"/>
  <c r="N20" i="5"/>
  <c r="N21" i="5" s="1"/>
  <c r="N104" i="5"/>
  <c r="T102" i="5"/>
  <c r="O104" i="5"/>
  <c r="O108" i="5" s="1"/>
  <c r="O439" i="5" s="1"/>
  <c r="T96" i="5"/>
  <c r="R131" i="5"/>
  <c r="T177" i="5"/>
  <c r="T204" i="5"/>
  <c r="W197" i="5"/>
  <c r="O3" i="3"/>
  <c r="E14" i="3" s="1"/>
  <c r="F14" i="3" s="1"/>
  <c r="N48" i="5"/>
  <c r="T46" i="5"/>
  <c r="N34" i="5"/>
  <c r="N40" i="5"/>
  <c r="N42" i="5" s="1"/>
  <c r="N168" i="1"/>
  <c r="O117" i="1"/>
  <c r="O119" i="1" s="1"/>
  <c r="O31" i="7" s="1"/>
  <c r="M10" i="1"/>
  <c r="N8" i="1"/>
  <c r="Z140" i="1"/>
  <c r="AA188" i="1"/>
  <c r="AK25" i="1"/>
  <c r="AK19" i="7" s="1"/>
  <c r="AL23" i="1"/>
  <c r="Y91" i="1"/>
  <c r="X28" i="7"/>
  <c r="L28" i="1"/>
  <c r="L32" i="1" s="1"/>
  <c r="L20" i="7" s="1"/>
  <c r="CW20" i="7" s="1"/>
  <c r="DP20" i="7" s="1"/>
  <c r="L189" i="1"/>
  <c r="L190" i="1" s="1"/>
  <c r="L14" i="11" s="1"/>
  <c r="L37" i="1"/>
  <c r="L21" i="7" s="1"/>
  <c r="Z143" i="1"/>
  <c r="AE20" i="1"/>
  <c r="AE18" i="7" s="1"/>
  <c r="AF18" i="1"/>
  <c r="AB15" i="1"/>
  <c r="AB17" i="7" s="1"/>
  <c r="DY46" i="7"/>
  <c r="CW22" i="7"/>
  <c r="DP22" i="7" s="1"/>
  <c r="CV22" i="7"/>
  <c r="DO22" i="7" s="1"/>
  <c r="CX22" i="7"/>
  <c r="DQ22" i="7" s="1"/>
  <c r="CS22" i="7"/>
  <c r="DL22" i="7" s="1"/>
  <c r="CU22" i="7"/>
  <c r="CY22" i="7"/>
  <c r="DR22" i="7" s="1"/>
  <c r="DA22" i="7"/>
  <c r="DT22" i="7" s="1"/>
  <c r="DA12" i="7"/>
  <c r="DA45" i="7" s="1"/>
  <c r="DV22" i="7"/>
  <c r="DR19" i="7"/>
  <c r="DS18" i="7"/>
  <c r="DG22" i="7"/>
  <c r="DZ22" i="7" s="1"/>
  <c r="CZ22" i="7"/>
  <c r="DS22" i="7" s="1"/>
  <c r="DD22" i="7"/>
  <c r="DW22" i="7" s="1"/>
  <c r="DD42" i="28"/>
  <c r="DW42" i="28" s="1"/>
  <c r="DW36" i="28"/>
  <c r="AE41" i="28"/>
  <c r="AD43" i="28"/>
  <c r="B39" i="10"/>
  <c r="B41" i="10"/>
  <c r="C39" i="10"/>
  <c r="C41" i="10"/>
  <c r="AG35" i="28"/>
  <c r="AG29" i="28"/>
  <c r="DY24" i="28"/>
  <c r="AF42" i="28"/>
  <c r="DX37" i="28"/>
  <c r="DX36" i="28"/>
  <c r="AF41" i="28"/>
  <c r="DD40" i="28"/>
  <c r="DD43" i="28" s="1"/>
  <c r="AE43" i="28"/>
  <c r="D41" i="10"/>
  <c r="D39" i="10"/>
  <c r="CX37" i="7"/>
  <c r="DA50" i="7"/>
  <c r="DB12" i="7"/>
  <c r="DB45" i="7" s="1"/>
  <c r="DD32" i="28"/>
  <c r="AF35" i="28"/>
  <c r="CU12" i="7"/>
  <c r="CU45" i="7" s="1"/>
  <c r="DC12" i="7"/>
  <c r="DC45" i="7" s="1"/>
  <c r="DF37" i="7"/>
  <c r="DY37" i="7" s="1"/>
  <c r="CU13" i="7"/>
  <c r="DI12" i="7"/>
  <c r="DI45" i="7" s="1"/>
  <c r="DG12" i="7"/>
  <c r="DG45" i="7" s="1"/>
  <c r="CW12" i="7"/>
  <c r="CW45" i="7" s="1"/>
  <c r="AF31" i="28"/>
  <c r="DE31" i="28" s="1"/>
  <c r="DX31" i="28" s="1"/>
  <c r="DW37" i="28"/>
  <c r="DX26" i="28"/>
  <c r="AG26" i="28"/>
  <c r="AA455" i="5"/>
  <c r="Y67" i="5"/>
  <c r="Z65" i="5"/>
  <c r="V305" i="5"/>
  <c r="P312" i="5"/>
  <c r="AJ141" i="5"/>
  <c r="AK60" i="5"/>
  <c r="AK87" i="5" s="1"/>
  <c r="AO385" i="5"/>
  <c r="AM384" i="5"/>
  <c r="O74" i="5"/>
  <c r="O75" i="5" s="1"/>
  <c r="U182" i="5"/>
  <c r="P11" i="5"/>
  <c r="O38" i="5"/>
  <c r="O40" i="5" s="1"/>
  <c r="O42" i="5" s="1"/>
  <c r="O13" i="5"/>
  <c r="O47" i="5"/>
  <c r="O48" i="5" s="1"/>
  <c r="AJ249" i="5"/>
  <c r="AJ276" i="5" s="1"/>
  <c r="AI114" i="5"/>
  <c r="AJ58" i="5"/>
  <c r="T90" i="5"/>
  <c r="P168" i="5"/>
  <c r="P142" i="5"/>
  <c r="O195" i="5"/>
  <c r="T88" i="5"/>
  <c r="AI411" i="5"/>
  <c r="AJ412" i="5" s="1"/>
  <c r="T372" i="5"/>
  <c r="T339" i="5"/>
  <c r="V101" i="5"/>
  <c r="V102" i="5" s="1"/>
  <c r="V95" i="5"/>
  <c r="V96" i="5" s="1"/>
  <c r="V90" i="5"/>
  <c r="W89" i="5"/>
  <c r="X197" i="5"/>
  <c r="W203" i="5"/>
  <c r="Y278" i="5"/>
  <c r="W359" i="5"/>
  <c r="U198" i="5"/>
  <c r="U203" i="5"/>
  <c r="U204" i="5" s="1"/>
  <c r="AF357" i="5"/>
  <c r="AE358" i="5"/>
  <c r="AF385" i="5"/>
  <c r="AG384" i="5"/>
  <c r="X256" i="5"/>
  <c r="Y254" i="5"/>
  <c r="AG331" i="5"/>
  <c r="Z303" i="5"/>
  <c r="Y304" i="5"/>
  <c r="Y92" i="5"/>
  <c r="X94" i="5"/>
  <c r="AD358" i="5"/>
  <c r="Y98" i="5"/>
  <c r="W262" i="5"/>
  <c r="X260" i="5"/>
  <c r="Z335" i="5"/>
  <c r="Y337" i="5"/>
  <c r="T202" i="5"/>
  <c r="T229" i="5"/>
  <c r="AK248" i="5"/>
  <c r="AL248" i="5" s="1"/>
  <c r="AM248" i="5" s="1"/>
  <c r="AN248" i="5" s="1"/>
  <c r="AO248" i="5" s="1"/>
  <c r="AJ247" i="5"/>
  <c r="T256" i="5"/>
  <c r="Y276" i="5"/>
  <c r="X277" i="5"/>
  <c r="T289" i="5"/>
  <c r="Z316" i="5"/>
  <c r="AA314" i="5"/>
  <c r="V222" i="5"/>
  <c r="V223" i="5" s="1"/>
  <c r="V196" i="5"/>
  <c r="W200" i="5"/>
  <c r="V202" i="5"/>
  <c r="W227" i="5"/>
  <c r="V229" i="5"/>
  <c r="Y249" i="5"/>
  <c r="Z249" i="5" s="1"/>
  <c r="X250" i="5"/>
  <c r="V119" i="5"/>
  <c r="AN60" i="5"/>
  <c r="AN87" i="5" s="1"/>
  <c r="AN6" i="5"/>
  <c r="V58" i="5"/>
  <c r="V61" i="5" s="1"/>
  <c r="Y58" i="5"/>
  <c r="Y61" i="5" s="1"/>
  <c r="AC58" i="5"/>
  <c r="AC61" i="5" s="1"/>
  <c r="AM60" i="5"/>
  <c r="AM87" i="5" s="1"/>
  <c r="DL20" i="7"/>
  <c r="DO18" i="7"/>
  <c r="DL27" i="7"/>
  <c r="DA19" i="7"/>
  <c r="DT19" i="7" s="1"/>
  <c r="DC19" i="7"/>
  <c r="DV19" i="7" s="1"/>
  <c r="DD17" i="7"/>
  <c r="DW17" i="7" s="1"/>
  <c r="DE30" i="7"/>
  <c r="DI29" i="7"/>
  <c r="EB29" i="7" s="1"/>
  <c r="AG33" i="7"/>
  <c r="T35" i="7"/>
  <c r="B35" i="32" s="1"/>
  <c r="AG35" i="7"/>
  <c r="T33" i="7"/>
  <c r="B27" i="32" s="1"/>
  <c r="T25" i="7"/>
  <c r="B33" i="32" s="1"/>
  <c r="T29" i="7"/>
  <c r="B30" i="32" s="1"/>
  <c r="T34" i="7"/>
  <c r="B34" i="32" s="1"/>
  <c r="DM17" i="7"/>
  <c r="DN22" i="7"/>
  <c r="DP29" i="7"/>
  <c r="DX29" i="7" s="1"/>
  <c r="DE29" i="7"/>
  <c r="DP16" i="7"/>
  <c r="AG22" i="7"/>
  <c r="AG24" i="7"/>
  <c r="AG29" i="7"/>
  <c r="CS25" i="7"/>
  <c r="T30" i="7"/>
  <c r="B28" i="32" s="1"/>
  <c r="T32" i="7"/>
  <c r="B24" i="32" s="1"/>
  <c r="B25" i="32" s="1"/>
  <c r="AG32" i="7"/>
  <c r="T17" i="7"/>
  <c r="B15" i="32" s="1"/>
  <c r="DX30" i="7"/>
  <c r="AG30" i="7"/>
  <c r="DS19" i="7"/>
  <c r="T19" i="7"/>
  <c r="B17" i="32" s="1"/>
  <c r="CT20" i="7"/>
  <c r="DM20" i="7" s="1"/>
  <c r="CU20" i="7"/>
  <c r="DO16" i="7"/>
  <c r="EB23" i="7"/>
  <c r="CV12" i="7"/>
  <c r="CV45" i="7" s="1"/>
  <c r="CY45" i="7"/>
  <c r="CW13" i="7"/>
  <c r="CY50" i="7"/>
  <c r="CY37" i="7"/>
  <c r="DG13" i="7"/>
  <c r="CS13" i="7"/>
  <c r="CW50" i="7"/>
  <c r="CT37" i="7"/>
  <c r="DY3" i="7"/>
  <c r="DY50" i="7" s="1"/>
  <c r="DY6" i="7"/>
  <c r="DY10" i="7" s="1"/>
  <c r="E19" i="30"/>
  <c r="I19" i="30"/>
  <c r="I22" i="30" s="1"/>
  <c r="DF12" i="7"/>
  <c r="DY12" i="7" s="1"/>
  <c r="K22" i="30"/>
  <c r="DE3" i="7"/>
  <c r="CS37" i="7"/>
  <c r="O4" i="3"/>
  <c r="DD12" i="7"/>
  <c r="DD45" i="7" s="1"/>
  <c r="CZ12" i="7"/>
  <c r="CS12" i="7"/>
  <c r="CS45" i="7" s="1"/>
  <c r="DH12" i="7"/>
  <c r="CZ50" i="7"/>
  <c r="DE12" i="7"/>
  <c r="DE45" i="7" s="1"/>
  <c r="CT12" i="7"/>
  <c r="CX12" i="7"/>
  <c r="E15" i="3"/>
  <c r="DI13" i="7"/>
  <c r="G22" i="30"/>
  <c r="AD14" i="18"/>
  <c r="J22" i="30"/>
  <c r="L22" i="30"/>
  <c r="H22" i="30"/>
  <c r="E23" i="31" l="1"/>
  <c r="E27" i="31" s="1"/>
  <c r="E436" i="31" s="1"/>
  <c r="U31" i="28"/>
  <c r="U37" i="28"/>
  <c r="U42" i="28" s="1"/>
  <c r="V26" i="28"/>
  <c r="G41" i="28"/>
  <c r="DM36" i="28"/>
  <c r="Y141" i="31"/>
  <c r="Y142" i="31" s="1"/>
  <c r="Y115" i="31"/>
  <c r="R13" i="31"/>
  <c r="S11" i="31"/>
  <c r="R65" i="31"/>
  <c r="R67" i="31" s="1"/>
  <c r="H95" i="31"/>
  <c r="H96" i="31" s="1"/>
  <c r="H101" i="31"/>
  <c r="H102" i="31" s="1"/>
  <c r="I89" i="31"/>
  <c r="M239" i="5"/>
  <c r="M456" i="5" s="1"/>
  <c r="M457" i="5" s="1"/>
  <c r="DU21" i="28"/>
  <c r="U104" i="5"/>
  <c r="G331" i="31"/>
  <c r="G333" i="31" s="1"/>
  <c r="G347" i="31" s="1"/>
  <c r="G351" i="31" s="1"/>
  <c r="G448" i="31" s="1"/>
  <c r="AE119" i="31"/>
  <c r="AE121" i="31" s="1"/>
  <c r="Q69" i="1"/>
  <c r="AE409" i="31"/>
  <c r="AB235" i="31"/>
  <c r="DB7" i="28"/>
  <c r="T127" i="5"/>
  <c r="P129" i="5"/>
  <c r="R36" i="28"/>
  <c r="R41" i="28" s="1"/>
  <c r="R43" i="28" s="1"/>
  <c r="S25" i="28"/>
  <c r="R30" i="28"/>
  <c r="R32" i="28" s="1"/>
  <c r="CR41" i="28"/>
  <c r="DK41" i="28"/>
  <c r="R195" i="5"/>
  <c r="R169" i="5"/>
  <c r="R171" i="5" s="1"/>
  <c r="F41" i="28"/>
  <c r="DL36" i="28"/>
  <c r="X169" i="5"/>
  <c r="X195" i="5"/>
  <c r="Y168" i="5"/>
  <c r="U29" i="28"/>
  <c r="U35" i="28"/>
  <c r="U40" i="28" s="1"/>
  <c r="V24" i="28"/>
  <c r="X416" i="5"/>
  <c r="W418" i="5"/>
  <c r="AG115" i="5"/>
  <c r="P20" i="5"/>
  <c r="P21" i="5" s="1"/>
  <c r="P9" i="5"/>
  <c r="Q8" i="5"/>
  <c r="P14" i="5"/>
  <c r="AB7" i="31"/>
  <c r="E135" i="31"/>
  <c r="E440" i="31" s="1"/>
  <c r="E216" i="31"/>
  <c r="E443" i="31" s="1"/>
  <c r="X310" i="5"/>
  <c r="Y308" i="5"/>
  <c r="U88" i="31"/>
  <c r="U114" i="31"/>
  <c r="F239" i="31"/>
  <c r="F243" i="31" s="1"/>
  <c r="F444" i="31" s="1"/>
  <c r="AG88" i="31"/>
  <c r="AH85" i="31"/>
  <c r="G297" i="31"/>
  <c r="G446" i="31" s="1"/>
  <c r="S418" i="31"/>
  <c r="T416" i="31"/>
  <c r="K149" i="31"/>
  <c r="K150" i="31" s="1"/>
  <c r="K155" i="31"/>
  <c r="K156" i="31" s="1"/>
  <c r="K144" i="31"/>
  <c r="K158" i="31" s="1"/>
  <c r="L143" i="31"/>
  <c r="R289" i="31"/>
  <c r="S287" i="31"/>
  <c r="F428" i="31"/>
  <c r="F432" i="31" s="1"/>
  <c r="F451" i="31" s="1"/>
  <c r="O142" i="31"/>
  <c r="U370" i="31"/>
  <c r="V368" i="31"/>
  <c r="S71" i="31"/>
  <c r="S73" i="31" s="1"/>
  <c r="T17" i="31"/>
  <c r="S19" i="31"/>
  <c r="AI169" i="31"/>
  <c r="AJ166" i="31"/>
  <c r="AJ169" i="31" s="1"/>
  <c r="U308" i="31"/>
  <c r="T310" i="31"/>
  <c r="AD169" i="31"/>
  <c r="AD195" i="31"/>
  <c r="AD222" i="31" s="1"/>
  <c r="S311" i="5"/>
  <c r="R312" i="5"/>
  <c r="H401" i="31"/>
  <c r="AK355" i="5"/>
  <c r="AJ358" i="5"/>
  <c r="Z368" i="5"/>
  <c r="Y370" i="5"/>
  <c r="W222" i="5"/>
  <c r="W223" i="5" s="1"/>
  <c r="W196" i="5"/>
  <c r="H403" i="31"/>
  <c r="H295" i="31"/>
  <c r="H160" i="31"/>
  <c r="H162" i="31" s="1"/>
  <c r="H441" i="31" s="1"/>
  <c r="H79" i="31"/>
  <c r="H349" i="31"/>
  <c r="H241" i="31"/>
  <c r="H187" i="31"/>
  <c r="I25" i="31"/>
  <c r="H430" i="31"/>
  <c r="H322" i="31"/>
  <c r="H324" i="31" s="1"/>
  <c r="H447" i="31" s="1"/>
  <c r="H214" i="31"/>
  <c r="H133" i="31"/>
  <c r="H106" i="31"/>
  <c r="H376" i="31"/>
  <c r="H268" i="31"/>
  <c r="H52" i="31"/>
  <c r="AG58" i="31"/>
  <c r="AF61" i="31"/>
  <c r="I158" i="31"/>
  <c r="I332" i="31"/>
  <c r="H344" i="31"/>
  <c r="H345" i="31" s="1"/>
  <c r="H338" i="31"/>
  <c r="H339" i="31" s="1"/>
  <c r="H333" i="31"/>
  <c r="V127" i="31"/>
  <c r="W125" i="31"/>
  <c r="H90" i="31"/>
  <c r="H104" i="31" s="1"/>
  <c r="H108" i="31" s="1"/>
  <c r="H439" i="31" s="1"/>
  <c r="P263" i="5"/>
  <c r="P264" i="5" s="1"/>
  <c r="Q251" i="5"/>
  <c r="P257" i="5"/>
  <c r="P258" i="5" s="1"/>
  <c r="N169" i="31"/>
  <c r="N195" i="31"/>
  <c r="O168" i="31"/>
  <c r="AH247" i="31"/>
  <c r="AG250" i="31"/>
  <c r="Y233" i="5"/>
  <c r="J77" i="31"/>
  <c r="U401" i="5"/>
  <c r="DJ12" i="28"/>
  <c r="DU12" i="28" s="1"/>
  <c r="O37" i="2"/>
  <c r="P4" i="2" s="1"/>
  <c r="P37" i="2" s="1"/>
  <c r="Q4" i="2" s="1"/>
  <c r="Q37" i="2" s="1"/>
  <c r="R4" i="2" s="1"/>
  <c r="R37" i="2" s="1"/>
  <c r="S4" i="2" s="1"/>
  <c r="S37" i="2" s="1"/>
  <c r="W291" i="5"/>
  <c r="W293" i="5" s="1"/>
  <c r="AJ358" i="31"/>
  <c r="Q185" i="5"/>
  <c r="T196" i="31"/>
  <c r="D36" i="31"/>
  <c r="O34" i="31"/>
  <c r="N123" i="5"/>
  <c r="T123" i="5" s="1"/>
  <c r="T121" i="5"/>
  <c r="AD31" i="31"/>
  <c r="AC34" i="31"/>
  <c r="D15" i="31"/>
  <c r="M24" i="28"/>
  <c r="L35" i="28"/>
  <c r="L29" i="28"/>
  <c r="DR24" i="28"/>
  <c r="N426" i="5"/>
  <c r="T426" i="5" s="1"/>
  <c r="X391" i="5"/>
  <c r="Y389" i="5"/>
  <c r="V365" i="5"/>
  <c r="V366" i="5" s="1"/>
  <c r="V360" i="5"/>
  <c r="DN25" i="28"/>
  <c r="H36" i="28"/>
  <c r="H30" i="28"/>
  <c r="CU30" i="28" s="1"/>
  <c r="DN30" i="28" s="1"/>
  <c r="I25" i="28"/>
  <c r="G197" i="31"/>
  <c r="F198" i="31"/>
  <c r="F209" i="31"/>
  <c r="F210" i="31" s="1"/>
  <c r="F203" i="31"/>
  <c r="F204" i="31" s="1"/>
  <c r="S283" i="31"/>
  <c r="T281" i="31"/>
  <c r="AE115" i="31"/>
  <c r="AF112" i="31"/>
  <c r="R182" i="31"/>
  <c r="Q183" i="31"/>
  <c r="U94" i="31"/>
  <c r="V92" i="31"/>
  <c r="F162" i="31"/>
  <c r="F441" i="31" s="1"/>
  <c r="V149" i="5"/>
  <c r="V150" i="5" s="1"/>
  <c r="W143" i="5"/>
  <c r="G176" i="31"/>
  <c r="G177" i="31" s="1"/>
  <c r="G171" i="31"/>
  <c r="G185" i="31" s="1"/>
  <c r="G189" i="31" s="1"/>
  <c r="G442" i="31" s="1"/>
  <c r="H170" i="31"/>
  <c r="G419" i="31"/>
  <c r="G420" i="31" s="1"/>
  <c r="G425" i="31"/>
  <c r="G426" i="31" s="1"/>
  <c r="H413" i="31"/>
  <c r="V206" i="31"/>
  <c r="U208" i="31"/>
  <c r="H36" i="31"/>
  <c r="H50" i="31" s="1"/>
  <c r="H54" i="31" s="1"/>
  <c r="H437" i="31" s="1"/>
  <c r="H41" i="31"/>
  <c r="H42" i="31" s="1"/>
  <c r="H47" i="31"/>
  <c r="H48" i="31" s="1"/>
  <c r="I35" i="31"/>
  <c r="AA88" i="31"/>
  <c r="AB87" i="31"/>
  <c r="AC249" i="31" s="1"/>
  <c r="AC88" i="31"/>
  <c r="AA114" i="31"/>
  <c r="AA115" i="31" s="1"/>
  <c r="U40" i="31"/>
  <c r="V38" i="31"/>
  <c r="U179" i="31"/>
  <c r="T181" i="31"/>
  <c r="W335" i="31"/>
  <c r="V337" i="31"/>
  <c r="F365" i="31"/>
  <c r="F366" i="31" s="1"/>
  <c r="F371" i="31"/>
  <c r="F372" i="31" s="1"/>
  <c r="G359" i="31"/>
  <c r="F266" i="31"/>
  <c r="F270" i="31" s="1"/>
  <c r="F445" i="31" s="1"/>
  <c r="W202" i="31"/>
  <c r="X200" i="31"/>
  <c r="I392" i="31"/>
  <c r="I393" i="31" s="1"/>
  <c r="J386" i="31"/>
  <c r="I398" i="31"/>
  <c r="I399" i="31" s="1"/>
  <c r="Y422" i="31"/>
  <c r="X424" i="31"/>
  <c r="V158" i="5"/>
  <c r="U169" i="31"/>
  <c r="X290" i="5"/>
  <c r="X284" i="5"/>
  <c r="X285" i="5" s="1"/>
  <c r="C104" i="31"/>
  <c r="C108" i="31" s="1"/>
  <c r="C439" i="31" s="1"/>
  <c r="P306" i="31"/>
  <c r="P320" i="31" s="1"/>
  <c r="T341" i="31"/>
  <c r="S343" i="31"/>
  <c r="I278" i="31"/>
  <c r="H290" i="31"/>
  <c r="H291" i="31" s="1"/>
  <c r="H279" i="31"/>
  <c r="H284" i="31"/>
  <c r="H285" i="31" s="1"/>
  <c r="S395" i="31"/>
  <c r="R397" i="31"/>
  <c r="G263" i="31"/>
  <c r="G264" i="31" s="1"/>
  <c r="G252" i="31"/>
  <c r="H251" i="31"/>
  <c r="G257" i="31"/>
  <c r="G258" i="31" s="1"/>
  <c r="X279" i="5"/>
  <c r="T182" i="5"/>
  <c r="V374" i="5"/>
  <c r="O75" i="31"/>
  <c r="AF301" i="31"/>
  <c r="AE304" i="31"/>
  <c r="I36" i="31"/>
  <c r="AD193" i="31"/>
  <c r="AB61" i="31"/>
  <c r="Q63" i="31"/>
  <c r="Q77" i="31" s="1"/>
  <c r="AF274" i="31"/>
  <c r="AE277" i="31"/>
  <c r="E65" i="31"/>
  <c r="E67" i="31" s="1"/>
  <c r="E13" i="31"/>
  <c r="E15" i="31" s="1"/>
  <c r="F11" i="31"/>
  <c r="H40" i="28"/>
  <c r="DN35" i="28"/>
  <c r="Y146" i="5"/>
  <c r="X148" i="5"/>
  <c r="X341" i="5"/>
  <c r="W343" i="5"/>
  <c r="Z411" i="5"/>
  <c r="Y412" i="5"/>
  <c r="F9" i="31"/>
  <c r="G8" i="31"/>
  <c r="F20" i="31"/>
  <c r="F21" i="31" s="1"/>
  <c r="F14" i="31"/>
  <c r="P52" i="5"/>
  <c r="P106" i="5"/>
  <c r="P108" i="5" s="1"/>
  <c r="P439" i="5" s="1"/>
  <c r="Q25" i="5"/>
  <c r="P79" i="5"/>
  <c r="P268" i="5"/>
  <c r="P214" i="5"/>
  <c r="P241" i="5"/>
  <c r="P295" i="5"/>
  <c r="T98" i="31"/>
  <c r="S100" i="31"/>
  <c r="Q306" i="31"/>
  <c r="S227" i="31"/>
  <c r="R229" i="31"/>
  <c r="H224" i="31"/>
  <c r="G236" i="31"/>
  <c r="G237" i="31" s="1"/>
  <c r="G225" i="31"/>
  <c r="G230" i="31"/>
  <c r="G231" i="31" s="1"/>
  <c r="U156" i="5"/>
  <c r="U158" i="5" s="1"/>
  <c r="S148" i="31"/>
  <c r="T146" i="31"/>
  <c r="T260" i="31"/>
  <c r="S262" i="31"/>
  <c r="T362" i="31"/>
  <c r="S364" i="31"/>
  <c r="T195" i="31"/>
  <c r="T222" i="31" s="1"/>
  <c r="T223" i="31" s="1"/>
  <c r="U168" i="31"/>
  <c r="S316" i="31"/>
  <c r="T314" i="31"/>
  <c r="H128" i="31"/>
  <c r="H129" i="31" s="1"/>
  <c r="H122" i="31"/>
  <c r="H123" i="31" s="1"/>
  <c r="I116" i="31"/>
  <c r="Z34" i="31"/>
  <c r="AB34" i="31" s="1"/>
  <c r="T152" i="31"/>
  <c r="S154" i="31"/>
  <c r="Q196" i="5"/>
  <c r="Q198" i="5" s="1"/>
  <c r="Q212" i="5" s="1"/>
  <c r="Q222" i="5"/>
  <c r="W256" i="31"/>
  <c r="X254" i="31"/>
  <c r="G306" i="31"/>
  <c r="U175" i="31"/>
  <c r="V173" i="31"/>
  <c r="AE6" i="31"/>
  <c r="AE168" i="31"/>
  <c r="AD33" i="31"/>
  <c r="CX26" i="7"/>
  <c r="DQ26" i="7" s="1"/>
  <c r="DF45" i="7"/>
  <c r="DF49" i="7" s="1"/>
  <c r="DY49" i="7" s="1"/>
  <c r="DA24" i="7"/>
  <c r="DT24" i="7" s="1"/>
  <c r="U26" i="16"/>
  <c r="T26" i="16"/>
  <c r="F270" i="5"/>
  <c r="G266" i="5"/>
  <c r="G279" i="5"/>
  <c r="F293" i="5"/>
  <c r="L295" i="5"/>
  <c r="L216" i="5"/>
  <c r="L443" i="5" s="1"/>
  <c r="L349" i="5"/>
  <c r="L270" i="5"/>
  <c r="L445" i="5" s="1"/>
  <c r="M243" i="5"/>
  <c r="M444" i="5" s="1"/>
  <c r="M241" i="5"/>
  <c r="M322" i="5" s="1"/>
  <c r="M162" i="5"/>
  <c r="M441" i="5" s="1"/>
  <c r="M214" i="5"/>
  <c r="M135" i="5"/>
  <c r="M440" i="5" s="1"/>
  <c r="K376" i="5"/>
  <c r="K378" i="5" s="1"/>
  <c r="K449" i="5" s="1"/>
  <c r="K297" i="5"/>
  <c r="K446" i="5" s="1"/>
  <c r="K430" i="5"/>
  <c r="K432" i="5" s="1"/>
  <c r="K451" i="5" s="1"/>
  <c r="K351" i="5"/>
  <c r="K448" i="5" s="1"/>
  <c r="L403" i="5"/>
  <c r="L405" i="5" s="1"/>
  <c r="L450" i="5" s="1"/>
  <c r="L324" i="5"/>
  <c r="L447" i="5" s="1"/>
  <c r="M268" i="5"/>
  <c r="M189" i="5"/>
  <c r="M442" i="5" s="1"/>
  <c r="S412" i="31"/>
  <c r="T411" i="31"/>
  <c r="U384" i="31"/>
  <c r="T385" i="31"/>
  <c r="T357" i="31"/>
  <c r="S358" i="31"/>
  <c r="T276" i="31"/>
  <c r="S277" i="31"/>
  <c r="H9" i="5"/>
  <c r="T7" i="5"/>
  <c r="J463" i="5"/>
  <c r="J465" i="5" s="1"/>
  <c r="J8" i="7" s="1"/>
  <c r="CU8" i="7" s="1"/>
  <c r="DN8" i="7" s="1"/>
  <c r="J23" i="5"/>
  <c r="K463" i="5"/>
  <c r="K465" i="5" s="1"/>
  <c r="K8" i="7" s="1"/>
  <c r="CV8" i="7" s="1"/>
  <c r="DO8" i="7" s="1"/>
  <c r="K23" i="5"/>
  <c r="AI328" i="5"/>
  <c r="U291" i="5"/>
  <c r="U293" i="5" s="1"/>
  <c r="AI85" i="5"/>
  <c r="AJ85" i="5" s="1"/>
  <c r="AI4" i="5"/>
  <c r="CP43" i="28"/>
  <c r="DL26" i="28"/>
  <c r="F37" i="28"/>
  <c r="F31" i="28"/>
  <c r="G26" i="28"/>
  <c r="F6" i="4"/>
  <c r="G4" i="4"/>
  <c r="G6" i="4" s="1"/>
  <c r="DJ32" i="28"/>
  <c r="D43" i="28"/>
  <c r="CQ40" i="28"/>
  <c r="AF32" i="28"/>
  <c r="DE29" i="28"/>
  <c r="V44" i="5"/>
  <c r="V46" i="5" s="1"/>
  <c r="V19" i="5"/>
  <c r="W17" i="5"/>
  <c r="S115" i="5"/>
  <c r="S117" i="5" s="1"/>
  <c r="S131" i="5" s="1"/>
  <c r="S141" i="5"/>
  <c r="T114" i="5"/>
  <c r="Y173" i="5"/>
  <c r="X175" i="5"/>
  <c r="V398" i="5"/>
  <c r="V399" i="5" s="1"/>
  <c r="W386" i="5"/>
  <c r="V392" i="5"/>
  <c r="V393" i="5" s="1"/>
  <c r="V387" i="5"/>
  <c r="X289" i="5"/>
  <c r="X291" i="5" s="1"/>
  <c r="Y287" i="5"/>
  <c r="N117" i="5"/>
  <c r="V128" i="5"/>
  <c r="V129" i="5" s="1"/>
  <c r="W116" i="5"/>
  <c r="V122" i="5"/>
  <c r="V117" i="5"/>
  <c r="W332" i="5"/>
  <c r="V338" i="5"/>
  <c r="V339" i="5" s="1"/>
  <c r="V344" i="5"/>
  <c r="V345" i="5" s="1"/>
  <c r="V333" i="5"/>
  <c r="W419" i="5"/>
  <c r="W414" i="5"/>
  <c r="X413" i="5"/>
  <c r="W425" i="5"/>
  <c r="W426" i="5" s="1"/>
  <c r="V209" i="5"/>
  <c r="V210" i="5" s="1"/>
  <c r="V203" i="5"/>
  <c r="R306" i="31"/>
  <c r="S305" i="31"/>
  <c r="Z127" i="5"/>
  <c r="AA125" i="5"/>
  <c r="Z422" i="5"/>
  <c r="Y424" i="5"/>
  <c r="AA154" i="5"/>
  <c r="AB152" i="5"/>
  <c r="AB364" i="5"/>
  <c r="AC362" i="5"/>
  <c r="W171" i="5"/>
  <c r="W176" i="5"/>
  <c r="W177" i="5" s="1"/>
  <c r="X170" i="5"/>
  <c r="AC75" i="31"/>
  <c r="AD74" i="31"/>
  <c r="D212" i="31"/>
  <c r="C411" i="31"/>
  <c r="C412" i="31" s="1"/>
  <c r="C385" i="31"/>
  <c r="E333" i="31"/>
  <c r="AB88" i="31"/>
  <c r="D158" i="31"/>
  <c r="Q320" i="31"/>
  <c r="T311" i="31"/>
  <c r="S312" i="31"/>
  <c r="E243" i="31"/>
  <c r="AC235" i="31"/>
  <c r="AD233" i="31"/>
  <c r="Z389" i="31"/>
  <c r="Y391" i="31"/>
  <c r="AA455" i="31"/>
  <c r="AD34" i="5"/>
  <c r="AE33" i="5"/>
  <c r="R183" i="5"/>
  <c r="G304" i="5"/>
  <c r="F306" i="5"/>
  <c r="F357" i="5"/>
  <c r="G330" i="5"/>
  <c r="F331" i="5"/>
  <c r="F444" i="5"/>
  <c r="G243" i="5"/>
  <c r="G444" i="5" s="1"/>
  <c r="O224" i="5"/>
  <c r="N236" i="5"/>
  <c r="N237" i="5" s="1"/>
  <c r="N230" i="5"/>
  <c r="N231" i="5" s="1"/>
  <c r="Q141" i="31"/>
  <c r="Q142" i="31" s="1"/>
  <c r="Q115" i="31"/>
  <c r="Z100" i="1"/>
  <c r="Y107" i="1"/>
  <c r="Y28" i="7" s="1"/>
  <c r="AB250" i="31"/>
  <c r="O183" i="31"/>
  <c r="T330" i="31"/>
  <c r="S331" i="31"/>
  <c r="R141" i="31"/>
  <c r="R142" i="31" s="1"/>
  <c r="R115" i="31"/>
  <c r="L463" i="5"/>
  <c r="L465" i="5" s="1"/>
  <c r="L8" i="7" s="1"/>
  <c r="CW8" i="7" s="1"/>
  <c r="DP8" i="7" s="1"/>
  <c r="L23" i="5"/>
  <c r="M463" i="5"/>
  <c r="M465" i="5" s="1"/>
  <c r="M8" i="7" s="1"/>
  <c r="I23" i="5"/>
  <c r="I463" i="5"/>
  <c r="I465" i="5" s="1"/>
  <c r="I8" i="7" s="1"/>
  <c r="CT8" i="7" s="1"/>
  <c r="DM8" i="7" s="1"/>
  <c r="DI42" i="28"/>
  <c r="DI32" i="28"/>
  <c r="CR31" i="28"/>
  <c r="E32" i="28"/>
  <c r="E42" i="28"/>
  <c r="DK37" i="28"/>
  <c r="DU7" i="28"/>
  <c r="AG41" i="28"/>
  <c r="DF41" i="28" s="1"/>
  <c r="DY41" i="28" s="1"/>
  <c r="DY36" i="28"/>
  <c r="X208" i="5"/>
  <c r="Y206" i="5"/>
  <c r="Y7" i="5"/>
  <c r="Z6" i="5"/>
  <c r="N168" i="5"/>
  <c r="N142" i="5"/>
  <c r="N144" i="5" s="1"/>
  <c r="N158" i="5" s="1"/>
  <c r="N162" i="5" s="1"/>
  <c r="N441" i="5" s="1"/>
  <c r="AC283" i="5"/>
  <c r="AD281" i="5"/>
  <c r="Z179" i="5"/>
  <c r="Y181" i="5"/>
  <c r="Z397" i="5"/>
  <c r="AA395" i="5"/>
  <c r="I411" i="31"/>
  <c r="I412" i="31" s="1"/>
  <c r="I385" i="31"/>
  <c r="I387" i="31" s="1"/>
  <c r="K384" i="31"/>
  <c r="K358" i="31"/>
  <c r="AD68" i="31"/>
  <c r="AC69" i="31"/>
  <c r="D81" i="31"/>
  <c r="D297" i="31"/>
  <c r="S317" i="31"/>
  <c r="R318" i="31"/>
  <c r="AJ411" i="31"/>
  <c r="AJ385" i="31"/>
  <c r="T62" i="31"/>
  <c r="S63" i="31"/>
  <c r="C360" i="31"/>
  <c r="E384" i="31"/>
  <c r="E358" i="31"/>
  <c r="E360" i="31" s="1"/>
  <c r="E374" i="31" s="1"/>
  <c r="E378" i="31" s="1"/>
  <c r="E449" i="31" s="1"/>
  <c r="G384" i="31"/>
  <c r="G358" i="31"/>
  <c r="G360" i="31" s="1"/>
  <c r="M411" i="31"/>
  <c r="M412" i="31" s="1"/>
  <c r="M385" i="31"/>
  <c r="E54" i="31"/>
  <c r="D135" i="31"/>
  <c r="D104" i="31"/>
  <c r="D351" i="31"/>
  <c r="G50" i="31"/>
  <c r="G54" i="31" s="1"/>
  <c r="G437" i="31" s="1"/>
  <c r="F185" i="31"/>
  <c r="AJ331" i="31"/>
  <c r="DE19" i="7"/>
  <c r="DE22" i="7"/>
  <c r="DP27" i="7"/>
  <c r="N76" i="1"/>
  <c r="N26" i="7" s="1"/>
  <c r="P63" i="1"/>
  <c r="O70" i="1"/>
  <c r="O72" i="1" s="1"/>
  <c r="O65" i="1"/>
  <c r="N89" i="1"/>
  <c r="M93" i="1"/>
  <c r="M27" i="7" s="1"/>
  <c r="CX27" i="7" s="1"/>
  <c r="DQ27" i="7" s="1"/>
  <c r="R46" i="1"/>
  <c r="Q24" i="7"/>
  <c r="DX22" i="7"/>
  <c r="DN20" i="7"/>
  <c r="M28" i="1"/>
  <c r="M32" i="1" s="1"/>
  <c r="M20" i="7" s="1"/>
  <c r="CX20" i="7" s="1"/>
  <c r="DQ20" i="7" s="1"/>
  <c r="M16" i="7"/>
  <c r="M6" i="7"/>
  <c r="I139" i="1"/>
  <c r="I141" i="1" s="1"/>
  <c r="J20" i="16"/>
  <c r="H144" i="1"/>
  <c r="H141" i="1"/>
  <c r="I142" i="1"/>
  <c r="I144" i="1" s="1"/>
  <c r="J23" i="16"/>
  <c r="AJ31" i="5"/>
  <c r="AI34" i="5"/>
  <c r="AK409" i="5"/>
  <c r="AJ169" i="5"/>
  <c r="AK166" i="5"/>
  <c r="AK112" i="5"/>
  <c r="AL112" i="5" s="1"/>
  <c r="AM112" i="5" s="1"/>
  <c r="AN112" i="5" s="1"/>
  <c r="AO112" i="5" s="1"/>
  <c r="N23" i="5"/>
  <c r="N27" i="5" s="1"/>
  <c r="P317" i="5"/>
  <c r="O318" i="5"/>
  <c r="N108" i="5"/>
  <c r="T104" i="5"/>
  <c r="W209" i="5"/>
  <c r="W210" i="5" s="1"/>
  <c r="W198" i="5"/>
  <c r="DF39" i="7"/>
  <c r="DY39" i="7" s="1"/>
  <c r="O168" i="1"/>
  <c r="N36" i="5"/>
  <c r="T34" i="5"/>
  <c r="P117" i="1"/>
  <c r="P119" i="1" s="1"/>
  <c r="P31" i="7" s="1"/>
  <c r="AC15" i="1"/>
  <c r="AC17" i="7" s="1"/>
  <c r="AF20" i="1"/>
  <c r="AG18" i="1"/>
  <c r="AH18" i="1" s="1"/>
  <c r="AA143" i="1"/>
  <c r="AB188" i="1"/>
  <c r="Z91" i="1"/>
  <c r="AL25" i="1"/>
  <c r="AL19" i="7" s="1"/>
  <c r="AM23" i="1"/>
  <c r="AA140" i="1"/>
  <c r="N35" i="1"/>
  <c r="O8" i="1"/>
  <c r="N10" i="1"/>
  <c r="N16" i="7" s="1"/>
  <c r="M189" i="1"/>
  <c r="M190" i="1" s="1"/>
  <c r="M14" i="11" s="1"/>
  <c r="M37" i="1"/>
  <c r="M21" i="7" s="1"/>
  <c r="DW40" i="28"/>
  <c r="DW43" i="28" s="1"/>
  <c r="DG25" i="7"/>
  <c r="DZ25" i="7" s="1"/>
  <c r="DE41" i="28"/>
  <c r="DX41" i="28" s="1"/>
  <c r="DY35" i="28"/>
  <c r="AG40" i="28"/>
  <c r="DD41" i="28"/>
  <c r="DW41" i="28" s="1"/>
  <c r="DY45" i="7"/>
  <c r="AG31" i="28"/>
  <c r="DF31" i="28" s="1"/>
  <c r="DY31" i="28" s="1"/>
  <c r="DY26" i="28"/>
  <c r="AG37" i="28"/>
  <c r="DX35" i="28"/>
  <c r="AF40" i="28"/>
  <c r="DE42" i="28"/>
  <c r="DX42" i="28" s="1"/>
  <c r="AG32" i="28"/>
  <c r="DF29" i="28"/>
  <c r="AN249" i="5"/>
  <c r="AN276" i="5" s="1"/>
  <c r="AM114" i="5"/>
  <c r="AO60" i="5"/>
  <c r="AO87" i="5" s="1"/>
  <c r="AO114" i="5" s="1"/>
  <c r="AO141" i="5" s="1"/>
  <c r="AO6" i="5"/>
  <c r="V121" i="5"/>
  <c r="W119" i="5"/>
  <c r="AA249" i="5"/>
  <c r="Z250" i="5"/>
  <c r="X227" i="5"/>
  <c r="W229" i="5"/>
  <c r="W202" i="5"/>
  <c r="W204" i="5" s="1"/>
  <c r="X200" i="5"/>
  <c r="X293" i="5"/>
  <c r="AA335" i="5"/>
  <c r="Z337" i="5"/>
  <c r="Y100" i="5"/>
  <c r="Z98" i="5"/>
  <c r="AF358" i="5"/>
  <c r="AG357" i="5"/>
  <c r="Y250" i="5"/>
  <c r="U212" i="5"/>
  <c r="Y290" i="5"/>
  <c r="Y284" i="5"/>
  <c r="Y285" i="5" s="1"/>
  <c r="Z278" i="5"/>
  <c r="X209" i="5"/>
  <c r="X210" i="5" s="1"/>
  <c r="X203" i="5"/>
  <c r="Y197" i="5"/>
  <c r="W101" i="5"/>
  <c r="W102" i="5" s="1"/>
  <c r="W90" i="5"/>
  <c r="W95" i="5"/>
  <c r="W96" i="5" s="1"/>
  <c r="X89" i="5"/>
  <c r="P169" i="5"/>
  <c r="P195" i="5"/>
  <c r="AJ61" i="5"/>
  <c r="AK58" i="5"/>
  <c r="AJ303" i="5"/>
  <c r="AK304" i="5" s="1"/>
  <c r="AK277" i="5"/>
  <c r="O15" i="5"/>
  <c r="P38" i="5"/>
  <c r="P40" i="5" s="1"/>
  <c r="Q11" i="5"/>
  <c r="P13" i="5"/>
  <c r="P15" i="5" s="1"/>
  <c r="P23" i="5" s="1"/>
  <c r="N436" i="5"/>
  <c r="O77" i="5"/>
  <c r="AK114" i="5"/>
  <c r="AL249" i="5"/>
  <c r="AL276" i="5" s="1"/>
  <c r="O50" i="5"/>
  <c r="O54" i="5" s="1"/>
  <c r="O437" i="5" s="1"/>
  <c r="AG61" i="5"/>
  <c r="AN114" i="5"/>
  <c r="AO249" i="5"/>
  <c r="AO276" i="5" s="1"/>
  <c r="AO303" i="5" s="1"/>
  <c r="V204" i="5"/>
  <c r="V198" i="5"/>
  <c r="AA316" i="5"/>
  <c r="AB314" i="5"/>
  <c r="Z276" i="5"/>
  <c r="Y277" i="5"/>
  <c r="AK247" i="5"/>
  <c r="Y260" i="5"/>
  <c r="X262" i="5"/>
  <c r="Z233" i="5"/>
  <c r="Y235" i="5"/>
  <c r="Z92" i="5"/>
  <c r="Y94" i="5"/>
  <c r="Z304" i="5"/>
  <c r="AA303" i="5"/>
  <c r="Z254" i="5"/>
  <c r="Y256" i="5"/>
  <c r="AG358" i="5"/>
  <c r="W365" i="5"/>
  <c r="W366" i="5" s="1"/>
  <c r="X359" i="5"/>
  <c r="W371" i="5"/>
  <c r="W372" i="5" s="1"/>
  <c r="W360" i="5"/>
  <c r="V104" i="5"/>
  <c r="O196" i="5"/>
  <c r="O222" i="5"/>
  <c r="P144" i="5"/>
  <c r="AI141" i="5"/>
  <c r="AJ142" i="5" s="1"/>
  <c r="AJ115" i="5"/>
  <c r="P36" i="5"/>
  <c r="P41" i="5"/>
  <c r="P47" i="5"/>
  <c r="P48" i="5" s="1"/>
  <c r="V182" i="5"/>
  <c r="U183" i="5"/>
  <c r="P68" i="5"/>
  <c r="P69" i="5" s="1"/>
  <c r="P74" i="5"/>
  <c r="P75" i="5" s="1"/>
  <c r="P63" i="5"/>
  <c r="AN385" i="5"/>
  <c r="AM411" i="5"/>
  <c r="AM385" i="5"/>
  <c r="W305" i="5"/>
  <c r="V306" i="5"/>
  <c r="Z67" i="5"/>
  <c r="AA65" i="5"/>
  <c r="AB455" i="5"/>
  <c r="DA17" i="7"/>
  <c r="DT17" i="7" s="1"/>
  <c r="CZ17" i="7"/>
  <c r="DS17" i="7" s="1"/>
  <c r="DB17" i="7"/>
  <c r="DG30" i="7"/>
  <c r="DZ30" i="7" s="1"/>
  <c r="DC28" i="7"/>
  <c r="DV28" i="7" s="1"/>
  <c r="DE25" i="7"/>
  <c r="DL25" i="7"/>
  <c r="DX19" i="7"/>
  <c r="CZ45" i="7"/>
  <c r="DE37" i="7"/>
  <c r="DE50" i="7"/>
  <c r="DE13" i="7"/>
  <c r="CX45" i="7"/>
  <c r="CT45" i="7"/>
  <c r="DH45" i="7"/>
  <c r="E16" i="3"/>
  <c r="F15" i="3"/>
  <c r="AF168" i="31" l="1"/>
  <c r="AE33" i="31"/>
  <c r="AF7" i="31"/>
  <c r="T343" i="31"/>
  <c r="U341" i="31"/>
  <c r="V94" i="31"/>
  <c r="W92" i="31"/>
  <c r="F374" i="31"/>
  <c r="F378" i="31" s="1"/>
  <c r="F449" i="31" s="1"/>
  <c r="Y391" i="5"/>
  <c r="Z389" i="5"/>
  <c r="X125" i="31"/>
  <c r="W127" i="31"/>
  <c r="AE330" i="31"/>
  <c r="AD223" i="31"/>
  <c r="S75" i="31"/>
  <c r="S13" i="31"/>
  <c r="S65" i="31"/>
  <c r="S67" i="31" s="1"/>
  <c r="S69" i="31" s="1"/>
  <c r="T11" i="31"/>
  <c r="V212" i="5"/>
  <c r="W173" i="31"/>
  <c r="V175" i="31"/>
  <c r="Y254" i="31"/>
  <c r="X256" i="31"/>
  <c r="I117" i="31"/>
  <c r="I122" i="31"/>
  <c r="I123" i="31" s="1"/>
  <c r="J116" i="31"/>
  <c r="I128" i="31"/>
  <c r="I129" i="31" s="1"/>
  <c r="U146" i="31"/>
  <c r="T148" i="31"/>
  <c r="G239" i="31"/>
  <c r="U98" i="31"/>
  <c r="T100" i="31"/>
  <c r="F463" i="31"/>
  <c r="F465" i="31" s="1"/>
  <c r="Y148" i="5"/>
  <c r="Z146" i="5"/>
  <c r="AG274" i="31"/>
  <c r="AF277" i="31"/>
  <c r="H252" i="31"/>
  <c r="H257" i="31"/>
  <c r="H258" i="31" s="1"/>
  <c r="I251" i="31"/>
  <c r="H263" i="31"/>
  <c r="H264" i="31" s="1"/>
  <c r="S397" i="31"/>
  <c r="T395" i="31"/>
  <c r="J387" i="31"/>
  <c r="J392" i="31"/>
  <c r="J393" i="31" s="1"/>
  <c r="J398" i="31"/>
  <c r="J399" i="31" s="1"/>
  <c r="K386" i="31"/>
  <c r="U181" i="31"/>
  <c r="V179" i="31"/>
  <c r="W206" i="31"/>
  <c r="V208" i="31"/>
  <c r="X143" i="5"/>
  <c r="W155" i="5"/>
  <c r="W156" i="5" s="1"/>
  <c r="W149" i="5"/>
  <c r="W150" i="5" s="1"/>
  <c r="W144" i="5"/>
  <c r="DR35" i="28"/>
  <c r="L40" i="28"/>
  <c r="Q263" i="5"/>
  <c r="Q264" i="5" s="1"/>
  <c r="R251" i="5"/>
  <c r="Q257" i="5"/>
  <c r="Q258" i="5" s="1"/>
  <c r="I338" i="31"/>
  <c r="I339" i="31" s="1"/>
  <c r="I344" i="31"/>
  <c r="I345" i="31" s="1"/>
  <c r="J332" i="31"/>
  <c r="I333" i="31"/>
  <c r="AH58" i="31"/>
  <c r="AG61" i="31"/>
  <c r="H405" i="31"/>
  <c r="H450" i="31" s="1"/>
  <c r="S289" i="31"/>
  <c r="T287" i="31"/>
  <c r="Y416" i="5"/>
  <c r="X418" i="5"/>
  <c r="Y195" i="5"/>
  <c r="Y169" i="5"/>
  <c r="Z168" i="5"/>
  <c r="CS41" i="28"/>
  <c r="DL41" i="28" s="1"/>
  <c r="T129" i="5"/>
  <c r="P131" i="5"/>
  <c r="P135" i="5" s="1"/>
  <c r="P440" i="5" s="1"/>
  <c r="DM41" i="28"/>
  <c r="CT41" i="28"/>
  <c r="U314" i="31"/>
  <c r="T316" i="31"/>
  <c r="U260" i="31"/>
  <c r="T262" i="31"/>
  <c r="F212" i="31"/>
  <c r="F216" i="31" s="1"/>
  <c r="F443" i="31" s="1"/>
  <c r="CY29" i="28"/>
  <c r="J89" i="31"/>
  <c r="I95" i="31"/>
  <c r="I96" i="31" s="1"/>
  <c r="I104" i="31" s="1"/>
  <c r="I90" i="31"/>
  <c r="I101" i="31"/>
  <c r="I102" i="31" s="1"/>
  <c r="AF119" i="31"/>
  <c r="AF121" i="31" s="1"/>
  <c r="I401" i="31"/>
  <c r="W420" i="5"/>
  <c r="V401" i="5"/>
  <c r="AE169" i="31"/>
  <c r="AE195" i="31"/>
  <c r="AE222" i="31" s="1"/>
  <c r="U152" i="31"/>
  <c r="T154" i="31"/>
  <c r="U195" i="31"/>
  <c r="V168" i="31"/>
  <c r="U362" i="31"/>
  <c r="T364" i="31"/>
  <c r="T227" i="31"/>
  <c r="S229" i="31"/>
  <c r="F15" i="31"/>
  <c r="F23" i="31" s="1"/>
  <c r="X343" i="5"/>
  <c r="Y341" i="5"/>
  <c r="E69" i="31"/>
  <c r="AE193" i="31"/>
  <c r="AD196" i="31"/>
  <c r="AG301" i="31"/>
  <c r="AF304" i="31"/>
  <c r="G266" i="31"/>
  <c r="I290" i="31"/>
  <c r="I291" i="31" s="1"/>
  <c r="J278" i="31"/>
  <c r="I284" i="31"/>
  <c r="I285" i="31" s="1"/>
  <c r="I279" i="31"/>
  <c r="V40" i="31"/>
  <c r="W38" i="31"/>
  <c r="AD250" i="31"/>
  <c r="AC250" i="31"/>
  <c r="AC276" i="31"/>
  <c r="H414" i="31"/>
  <c r="H419" i="31"/>
  <c r="H420" i="31" s="1"/>
  <c r="I413" i="31"/>
  <c r="H425" i="31"/>
  <c r="H426" i="31" s="1"/>
  <c r="U281" i="31"/>
  <c r="T283" i="31"/>
  <c r="J25" i="28"/>
  <c r="I36" i="28"/>
  <c r="I30" i="28"/>
  <c r="CV30" i="28" s="1"/>
  <c r="DO30" i="28" s="1"/>
  <c r="DO25" i="28"/>
  <c r="DS24" i="28"/>
  <c r="N24" i="28"/>
  <c r="M29" i="28"/>
  <c r="CZ29" i="28" s="1"/>
  <c r="DS29" i="28" s="1"/>
  <c r="M35" i="28"/>
  <c r="AE31" i="31"/>
  <c r="AD34" i="31"/>
  <c r="N196" i="31"/>
  <c r="N222" i="31"/>
  <c r="O195" i="31"/>
  <c r="H347" i="31"/>
  <c r="H351" i="31" s="1"/>
  <c r="H448" i="31" s="1"/>
  <c r="I403" i="31"/>
  <c r="I295" i="31"/>
  <c r="I187" i="31"/>
  <c r="I106" i="31"/>
  <c r="I349" i="31"/>
  <c r="I268" i="31"/>
  <c r="I79" i="31"/>
  <c r="I81" i="31" s="1"/>
  <c r="I438" i="31" s="1"/>
  <c r="J25" i="31"/>
  <c r="I430" i="31"/>
  <c r="I322" i="31"/>
  <c r="I324" i="31" s="1"/>
  <c r="I447" i="31" s="1"/>
  <c r="I241" i="31"/>
  <c r="I160" i="31"/>
  <c r="I52" i="31"/>
  <c r="I214" i="31"/>
  <c r="I133" i="31"/>
  <c r="I376" i="31"/>
  <c r="AA368" i="5"/>
  <c r="Z370" i="5"/>
  <c r="Y310" i="5"/>
  <c r="Z308" i="5"/>
  <c r="V35" i="28"/>
  <c r="V40" i="28" s="1"/>
  <c r="V29" i="28"/>
  <c r="W24" i="28"/>
  <c r="X222" i="5"/>
  <c r="X223" i="5" s="1"/>
  <c r="X196" i="5"/>
  <c r="X198" i="5" s="1"/>
  <c r="AF409" i="31"/>
  <c r="R69" i="1"/>
  <c r="W26" i="28"/>
  <c r="V37" i="28"/>
  <c r="V42" i="28" s="1"/>
  <c r="V31" i="28"/>
  <c r="G320" i="31"/>
  <c r="G9" i="31"/>
  <c r="G14" i="31"/>
  <c r="G20" i="31"/>
  <c r="G21" i="31" s="1"/>
  <c r="H8" i="31"/>
  <c r="Z412" i="5"/>
  <c r="AA411" i="5"/>
  <c r="F13" i="31"/>
  <c r="G11" i="31"/>
  <c r="F65" i="31"/>
  <c r="F67" i="31" s="1"/>
  <c r="F69" i="31" s="1"/>
  <c r="F77" i="31" s="1"/>
  <c r="F81" i="31" s="1"/>
  <c r="F438" i="31" s="1"/>
  <c r="AB114" i="31"/>
  <c r="AC115" i="31"/>
  <c r="AA141" i="31"/>
  <c r="J35" i="31"/>
  <c r="I41" i="31"/>
  <c r="I42" i="31" s="1"/>
  <c r="I47" i="31"/>
  <c r="I48" i="31" s="1"/>
  <c r="AG112" i="31"/>
  <c r="AF115" i="31"/>
  <c r="H41" i="28"/>
  <c r="DN36" i="28"/>
  <c r="D50" i="31"/>
  <c r="D54" i="31" s="1"/>
  <c r="D437" i="31" s="1"/>
  <c r="D463" i="31"/>
  <c r="D465" i="31" s="1"/>
  <c r="AH250" i="31"/>
  <c r="AI247" i="31"/>
  <c r="AL355" i="5"/>
  <c r="AK358" i="5"/>
  <c r="U416" i="31"/>
  <c r="T418" i="31"/>
  <c r="U115" i="31"/>
  <c r="AB115" i="31" s="1"/>
  <c r="U141" i="31"/>
  <c r="U142" i="31" s="1"/>
  <c r="Q20" i="5"/>
  <c r="Q21" i="5" s="1"/>
  <c r="Q14" i="5"/>
  <c r="Q9" i="5"/>
  <c r="R8" i="5"/>
  <c r="I414" i="31"/>
  <c r="AE7" i="31"/>
  <c r="Q249" i="5"/>
  <c r="Q223" i="5"/>
  <c r="H236" i="31"/>
  <c r="H237" i="31" s="1"/>
  <c r="I224" i="31"/>
  <c r="H230" i="31"/>
  <c r="H231" i="31" s="1"/>
  <c r="H225" i="31"/>
  <c r="Q52" i="5"/>
  <c r="Q133" i="5"/>
  <c r="Q135" i="5" s="1"/>
  <c r="Q440" i="5" s="1"/>
  <c r="Q79" i="5"/>
  <c r="Q187" i="5"/>
  <c r="Q189" i="5" s="1"/>
  <c r="Q442" i="5" s="1"/>
  <c r="Q322" i="5"/>
  <c r="Q268" i="5"/>
  <c r="Q214" i="5"/>
  <c r="Q216" i="5" s="1"/>
  <c r="Q443" i="5" s="1"/>
  <c r="Q376" i="5"/>
  <c r="Q403" i="5"/>
  <c r="Q430" i="5"/>
  <c r="Q349" i="5"/>
  <c r="Q106" i="5"/>
  <c r="Q108" i="5" s="1"/>
  <c r="Q439" i="5" s="1"/>
  <c r="Q295" i="5"/>
  <c r="Q160" i="5"/>
  <c r="Q162" i="5" s="1"/>
  <c r="Q441" i="5" s="1"/>
  <c r="Q241" i="5"/>
  <c r="R25" i="5"/>
  <c r="DN40" i="28"/>
  <c r="CU40" i="28"/>
  <c r="H293" i="31"/>
  <c r="Y424" i="31"/>
  <c r="Z422" i="31"/>
  <c r="X202" i="31"/>
  <c r="Y200" i="31"/>
  <c r="G371" i="31"/>
  <c r="G372" i="31" s="1"/>
  <c r="H359" i="31"/>
  <c r="G365" i="31"/>
  <c r="G366" i="31" s="1"/>
  <c r="G374" i="31" s="1"/>
  <c r="G378" i="31" s="1"/>
  <c r="G449" i="31" s="1"/>
  <c r="X335" i="31"/>
  <c r="W337" i="31"/>
  <c r="I170" i="31"/>
  <c r="H171" i="31"/>
  <c r="H176" i="31"/>
  <c r="H177" i="31" s="1"/>
  <c r="S182" i="31"/>
  <c r="R183" i="31"/>
  <c r="G203" i="31"/>
  <c r="G204" i="31" s="1"/>
  <c r="G209" i="31"/>
  <c r="G210" i="31" s="1"/>
  <c r="H197" i="31"/>
  <c r="G198" i="31"/>
  <c r="G212" i="31" s="1"/>
  <c r="G216" i="31" s="1"/>
  <c r="G443" i="31" s="1"/>
  <c r="D23" i="31"/>
  <c r="O169" i="31"/>
  <c r="I162" i="31"/>
  <c r="I441" i="31" s="1"/>
  <c r="T311" i="5"/>
  <c r="U311" i="5"/>
  <c r="S312" i="5"/>
  <c r="T312" i="5" s="1"/>
  <c r="V308" i="31"/>
  <c r="U310" i="31"/>
  <c r="T19" i="31"/>
  <c r="T71" i="31"/>
  <c r="T73" i="31" s="1"/>
  <c r="T75" i="31" s="1"/>
  <c r="U17" i="31"/>
  <c r="V370" i="31"/>
  <c r="W368" i="31"/>
  <c r="L144" i="31"/>
  <c r="L155" i="31"/>
  <c r="L156" i="31" s="1"/>
  <c r="M143" i="31"/>
  <c r="L149" i="31"/>
  <c r="L150" i="31" s="1"/>
  <c r="AI85" i="31"/>
  <c r="AH88" i="31"/>
  <c r="R222" i="5"/>
  <c r="R196" i="5"/>
  <c r="R198" i="5" s="1"/>
  <c r="R212" i="5" s="1"/>
  <c r="S36" i="28"/>
  <c r="S41" i="28" s="1"/>
  <c r="S43" i="28" s="1"/>
  <c r="S30" i="28"/>
  <c r="S32" i="28" s="1"/>
  <c r="T25" i="28"/>
  <c r="R69" i="31"/>
  <c r="R77" i="31" s="1"/>
  <c r="H131" i="31"/>
  <c r="CY26" i="7"/>
  <c r="DR26" i="7" s="1"/>
  <c r="D108" i="31"/>
  <c r="D440" i="31"/>
  <c r="E437" i="31"/>
  <c r="G411" i="31"/>
  <c r="G412" i="31" s="1"/>
  <c r="G414" i="31" s="1"/>
  <c r="G428" i="31" s="1"/>
  <c r="G432" i="31" s="1"/>
  <c r="G451" i="31" s="1"/>
  <c r="G385" i="31"/>
  <c r="G387" i="31" s="1"/>
  <c r="G401" i="31" s="1"/>
  <c r="E411" i="31"/>
  <c r="E412" i="31" s="1"/>
  <c r="E414" i="31" s="1"/>
  <c r="E428" i="31" s="1"/>
  <c r="E432" i="31" s="1"/>
  <c r="E451" i="31" s="1"/>
  <c r="E385" i="31"/>
  <c r="E387" i="31" s="1"/>
  <c r="E401" i="31" s="1"/>
  <c r="E405" i="31" s="1"/>
  <c r="E450" i="31" s="1"/>
  <c r="C374" i="31"/>
  <c r="T63" i="31"/>
  <c r="U62" i="31"/>
  <c r="T317" i="31"/>
  <c r="S318" i="31"/>
  <c r="D438" i="31"/>
  <c r="AD69" i="31"/>
  <c r="AE68" i="31"/>
  <c r="K411" i="31"/>
  <c r="K412" i="31" s="1"/>
  <c r="K385" i="31"/>
  <c r="K387" i="31" s="1"/>
  <c r="AA397" i="5"/>
  <c r="AB395" i="5"/>
  <c r="N169" i="5"/>
  <c r="N171" i="5" s="1"/>
  <c r="N185" i="5" s="1"/>
  <c r="N189" i="5" s="1"/>
  <c r="N442" i="5" s="1"/>
  <c r="N195" i="5"/>
  <c r="Z7" i="5"/>
  <c r="AA6" i="5"/>
  <c r="Z206" i="5"/>
  <c r="Y208" i="5"/>
  <c r="DK31" i="28"/>
  <c r="CR32" i="28"/>
  <c r="I27" i="5"/>
  <c r="I436" i="5" s="1"/>
  <c r="I452" i="5" s="1"/>
  <c r="I3" i="7" s="1"/>
  <c r="I456" i="5"/>
  <c r="I457" i="5" s="1"/>
  <c r="L27" i="5"/>
  <c r="L436" i="5" s="1"/>
  <c r="L456" i="5"/>
  <c r="L457" i="5" s="1"/>
  <c r="P224" i="5"/>
  <c r="O230" i="5"/>
  <c r="O231" i="5" s="1"/>
  <c r="O236" i="5"/>
  <c r="O237" i="5" s="1"/>
  <c r="G306" i="5"/>
  <c r="F320" i="5"/>
  <c r="AC455" i="31"/>
  <c r="AB455" i="31"/>
  <c r="AD235" i="31"/>
  <c r="AE233" i="31"/>
  <c r="U311" i="31"/>
  <c r="T312" i="31"/>
  <c r="D162" i="31"/>
  <c r="C387" i="31"/>
  <c r="D216" i="31"/>
  <c r="AD75" i="31"/>
  <c r="AE74" i="31"/>
  <c r="X171" i="5"/>
  <c r="X176" i="5"/>
  <c r="X177" i="5" s="1"/>
  <c r="Y170" i="5"/>
  <c r="AC364" i="5"/>
  <c r="AD362" i="5"/>
  <c r="AC152" i="5"/>
  <c r="AB154" i="5"/>
  <c r="T305" i="31"/>
  <c r="S306" i="31"/>
  <c r="X419" i="5"/>
  <c r="Y413" i="5"/>
  <c r="X425" i="5"/>
  <c r="X426" i="5" s="1"/>
  <c r="X414" i="5"/>
  <c r="W333" i="5"/>
  <c r="W338" i="5"/>
  <c r="W339" i="5" s="1"/>
  <c r="W344" i="5"/>
  <c r="W345" i="5" s="1"/>
  <c r="X332" i="5"/>
  <c r="N131" i="5"/>
  <c r="T117" i="5"/>
  <c r="Y289" i="5"/>
  <c r="Y291" i="5" s="1"/>
  <c r="Z287" i="5"/>
  <c r="W398" i="5"/>
  <c r="W399" i="5" s="1"/>
  <c r="X386" i="5"/>
  <c r="W387" i="5"/>
  <c r="W392" i="5"/>
  <c r="W393" i="5" s="1"/>
  <c r="DX29" i="28"/>
  <c r="DX32" i="28" s="1"/>
  <c r="DE32" i="28"/>
  <c r="CQ43" i="28"/>
  <c r="CS31" i="28"/>
  <c r="F32" i="28"/>
  <c r="AJ4" i="5"/>
  <c r="AI7" i="5"/>
  <c r="AK85" i="5"/>
  <c r="AJ88" i="5"/>
  <c r="AJ328" i="5"/>
  <c r="K27" i="5"/>
  <c r="K436" i="5" s="1"/>
  <c r="K456" i="5"/>
  <c r="K457" i="5" s="1"/>
  <c r="J27" i="5"/>
  <c r="J436" i="5" s="1"/>
  <c r="J452" i="5" s="1"/>
  <c r="J3" i="7" s="1"/>
  <c r="J456" i="5"/>
  <c r="J457" i="5" s="1"/>
  <c r="U411" i="31"/>
  <c r="T412" i="31"/>
  <c r="M349" i="5"/>
  <c r="M270" i="5"/>
  <c r="M445" i="5" s="1"/>
  <c r="G293" i="5"/>
  <c r="F297" i="5"/>
  <c r="W212" i="5"/>
  <c r="F189" i="31"/>
  <c r="D448" i="31"/>
  <c r="S77" i="31"/>
  <c r="D446" i="31"/>
  <c r="Z181" i="5"/>
  <c r="AA179" i="5"/>
  <c r="AE281" i="5"/>
  <c r="AD283" i="5"/>
  <c r="CR42" i="28"/>
  <c r="E43" i="28"/>
  <c r="DI43" i="28"/>
  <c r="CX8" i="7"/>
  <c r="DQ8" i="7" s="1"/>
  <c r="U330" i="31"/>
  <c r="T331" i="31"/>
  <c r="AA100" i="1"/>
  <c r="Z107" i="1"/>
  <c r="Z28" i="7" s="1"/>
  <c r="G331" i="5"/>
  <c r="F333" i="5"/>
  <c r="F384" i="5"/>
  <c r="G357" i="5"/>
  <c r="F358" i="5"/>
  <c r="R185" i="5"/>
  <c r="T183" i="5"/>
  <c r="AE34" i="5"/>
  <c r="AF33" i="5"/>
  <c r="Z391" i="31"/>
  <c r="AA389" i="31"/>
  <c r="E444" i="31"/>
  <c r="E347" i="31"/>
  <c r="E463" i="31"/>
  <c r="E465" i="31" s="1"/>
  <c r="C414" i="31"/>
  <c r="AA422" i="5"/>
  <c r="Z424" i="5"/>
  <c r="AA127" i="5"/>
  <c r="AB125" i="5"/>
  <c r="R320" i="31"/>
  <c r="W428" i="5"/>
  <c r="V347" i="5"/>
  <c r="W128" i="5"/>
  <c r="W129" i="5" s="1"/>
  <c r="X116" i="5"/>
  <c r="W122" i="5"/>
  <c r="W117" i="5"/>
  <c r="T115" i="5"/>
  <c r="Z173" i="5"/>
  <c r="Y175" i="5"/>
  <c r="T141" i="5"/>
  <c r="S142" i="5"/>
  <c r="S168" i="5"/>
  <c r="W44" i="5"/>
  <c r="W46" i="5" s="1"/>
  <c r="X17" i="5"/>
  <c r="W19" i="5"/>
  <c r="DJ40" i="28"/>
  <c r="H26" i="28"/>
  <c r="DM26" i="28"/>
  <c r="G37" i="28"/>
  <c r="G31" i="28"/>
  <c r="F42" i="28"/>
  <c r="DL37" i="28"/>
  <c r="H463" i="5"/>
  <c r="H465" i="5" s="1"/>
  <c r="H8" i="7" s="1"/>
  <c r="CS8" i="7" s="1"/>
  <c r="DL8" i="7" s="1"/>
  <c r="H23" i="5"/>
  <c r="U276" i="31"/>
  <c r="T277" i="31"/>
  <c r="U357" i="31"/>
  <c r="T358" i="31"/>
  <c r="V384" i="31"/>
  <c r="U385" i="31"/>
  <c r="K452" i="5"/>
  <c r="K3" i="7" s="1"/>
  <c r="M295" i="5"/>
  <c r="M216" i="5"/>
  <c r="M443" i="5" s="1"/>
  <c r="M403" i="5"/>
  <c r="M405" i="5" s="1"/>
  <c r="M450" i="5" s="1"/>
  <c r="M324" i="5"/>
  <c r="M447" i="5" s="1"/>
  <c r="L430" i="5"/>
  <c r="L432" i="5" s="1"/>
  <c r="L451" i="5" s="1"/>
  <c r="L351" i="5"/>
  <c r="L448" i="5" s="1"/>
  <c r="L376" i="5"/>
  <c r="L378" i="5" s="1"/>
  <c r="L449" i="5" s="1"/>
  <c r="L297" i="5"/>
  <c r="L446" i="5" s="1"/>
  <c r="F445" i="5"/>
  <c r="G270" i="5"/>
  <c r="G445" i="5" s="1"/>
  <c r="W26" i="16"/>
  <c r="Y26" i="16" s="1"/>
  <c r="AA26" i="16" s="1"/>
  <c r="AC26" i="16" s="1"/>
  <c r="AE26" i="16" s="1"/>
  <c r="V26" i="16"/>
  <c r="X26" i="16" s="1"/>
  <c r="Z26" i="16" s="1"/>
  <c r="AB26" i="16" s="1"/>
  <c r="AD26" i="16" s="1"/>
  <c r="AF26" i="16" s="1"/>
  <c r="O76" i="1"/>
  <c r="O26" i="7" s="1"/>
  <c r="Q63" i="1"/>
  <c r="P70" i="1"/>
  <c r="P72" i="1" s="1"/>
  <c r="P65" i="1"/>
  <c r="AG20" i="1"/>
  <c r="AF18" i="7"/>
  <c r="DB24" i="7"/>
  <c r="DU24" i="7" s="1"/>
  <c r="S46" i="1"/>
  <c r="R24" i="7"/>
  <c r="O89" i="1"/>
  <c r="N93" i="1"/>
  <c r="N27" i="7" s="1"/>
  <c r="CY27" i="7" s="1"/>
  <c r="DR27" i="7" s="1"/>
  <c r="I146" i="1"/>
  <c r="I11" i="11" s="1"/>
  <c r="I12" i="11" s="1"/>
  <c r="CY16" i="7"/>
  <c r="CX16" i="7"/>
  <c r="M10" i="7"/>
  <c r="DQ6" i="7"/>
  <c r="DQ10" i="7" s="1"/>
  <c r="H146" i="1"/>
  <c r="H46" i="7" s="1"/>
  <c r="I46" i="7"/>
  <c r="K20" i="16"/>
  <c r="J139" i="1"/>
  <c r="J141" i="1" s="1"/>
  <c r="K23" i="16"/>
  <c r="J142" i="1"/>
  <c r="AK31" i="5"/>
  <c r="AJ34" i="5"/>
  <c r="AL166" i="5"/>
  <c r="AK169" i="5"/>
  <c r="AL409" i="5"/>
  <c r="AK412" i="5"/>
  <c r="Q317" i="5"/>
  <c r="P318" i="5"/>
  <c r="N439" i="5"/>
  <c r="Q117" i="1"/>
  <c r="Q119" i="1" s="1"/>
  <c r="Q31" i="7" s="1"/>
  <c r="P168" i="1"/>
  <c r="N50" i="5"/>
  <c r="N28" i="1"/>
  <c r="N32" i="1" s="1"/>
  <c r="N20" i="7" s="1"/>
  <c r="N189" i="1"/>
  <c r="N190" i="1" s="1"/>
  <c r="N14" i="11" s="1"/>
  <c r="N37" i="1"/>
  <c r="N21" i="7" s="1"/>
  <c r="AA91" i="1"/>
  <c r="O35" i="1"/>
  <c r="O10" i="1"/>
  <c r="P8" i="1"/>
  <c r="AB140" i="1"/>
  <c r="AM25" i="1"/>
  <c r="AM19" i="7" s="1"/>
  <c r="AN23" i="1"/>
  <c r="AC188" i="1"/>
  <c r="AB143" i="1"/>
  <c r="AH20" i="1"/>
  <c r="AH18" i="7" s="1"/>
  <c r="AI18" i="1"/>
  <c r="AD15" i="1"/>
  <c r="AD17" i="7" s="1"/>
  <c r="DG24" i="7"/>
  <c r="DZ24" i="7" s="1"/>
  <c r="DH25" i="7"/>
  <c r="EA25" i="7" s="1"/>
  <c r="DB23" i="7"/>
  <c r="DU23" i="7" s="1"/>
  <c r="DA23" i="7"/>
  <c r="DT23" i="7" s="1"/>
  <c r="DI22" i="7"/>
  <c r="EB22" i="7" s="1"/>
  <c r="DY29" i="28"/>
  <c r="DY32" i="28" s="1"/>
  <c r="DF32" i="28"/>
  <c r="AF43" i="28"/>
  <c r="DE40" i="28"/>
  <c r="DE43" i="28" s="1"/>
  <c r="AG42" i="28"/>
  <c r="DY37" i="28"/>
  <c r="DF40" i="28"/>
  <c r="DF43" i="28" s="1"/>
  <c r="AG43" i="28"/>
  <c r="AB65" i="5"/>
  <c r="AA67" i="5"/>
  <c r="V183" i="5"/>
  <c r="V185" i="5" s="1"/>
  <c r="W182" i="5"/>
  <c r="Q36" i="5"/>
  <c r="Q41" i="5"/>
  <c r="Q47" i="5"/>
  <c r="Q48" i="5" s="1"/>
  <c r="P158" i="5"/>
  <c r="O198" i="5"/>
  <c r="W374" i="5"/>
  <c r="X365" i="5"/>
  <c r="X366" i="5" s="1"/>
  <c r="X360" i="5"/>
  <c r="X374" i="5" s="1"/>
  <c r="X371" i="5"/>
  <c r="X372" i="5" s="1"/>
  <c r="Y359" i="5"/>
  <c r="AA254" i="5"/>
  <c r="Z256" i="5"/>
  <c r="AA92" i="5"/>
  <c r="Z94" i="5"/>
  <c r="Y279" i="5"/>
  <c r="AB316" i="5"/>
  <c r="AC314" i="5"/>
  <c r="AN141" i="5"/>
  <c r="AO142" i="5" s="1"/>
  <c r="AO115" i="5"/>
  <c r="AL277" i="5"/>
  <c r="AL303" i="5"/>
  <c r="AM277" i="5"/>
  <c r="Q13" i="5"/>
  <c r="Q15" i="5" s="1"/>
  <c r="R11" i="5"/>
  <c r="Q38" i="5"/>
  <c r="Q40" i="5" s="1"/>
  <c r="P171" i="5"/>
  <c r="X90" i="5"/>
  <c r="X95" i="5"/>
  <c r="X96" i="5" s="1"/>
  <c r="X101" i="5"/>
  <c r="X102" i="5" s="1"/>
  <c r="Y89" i="5"/>
  <c r="W104" i="5"/>
  <c r="Z197" i="5"/>
  <c r="Y209" i="5"/>
  <c r="Y210" i="5" s="1"/>
  <c r="Y203" i="5"/>
  <c r="Z284" i="5"/>
  <c r="Z285" i="5" s="1"/>
  <c r="AA278" i="5"/>
  <c r="Z290" i="5"/>
  <c r="Z100" i="5"/>
  <c r="AA98" i="5"/>
  <c r="Y200" i="5"/>
  <c r="X202" i="5"/>
  <c r="X119" i="5"/>
  <c r="W121" i="5"/>
  <c r="AN303" i="5"/>
  <c r="AN277" i="5"/>
  <c r="AO277" i="5"/>
  <c r="AC455" i="5"/>
  <c r="W306" i="5"/>
  <c r="X305" i="5"/>
  <c r="P77" i="5"/>
  <c r="P81" i="5" s="1"/>
  <c r="P438" i="5" s="1"/>
  <c r="Q68" i="5"/>
  <c r="Q69" i="5" s="1"/>
  <c r="Q63" i="5"/>
  <c r="Q74" i="5"/>
  <c r="Q75" i="5" s="1"/>
  <c r="U185" i="5"/>
  <c r="O249" i="5"/>
  <c r="O223" i="5"/>
  <c r="AB303" i="5"/>
  <c r="AA304" i="5"/>
  <c r="AA233" i="5"/>
  <c r="Z235" i="5"/>
  <c r="Z260" i="5"/>
  <c r="Y262" i="5"/>
  <c r="AL247" i="5"/>
  <c r="AK250" i="5"/>
  <c r="AA276" i="5"/>
  <c r="Z277" i="5"/>
  <c r="Z279" i="5" s="1"/>
  <c r="AL115" i="5"/>
  <c r="AK141" i="5"/>
  <c r="AK115" i="5"/>
  <c r="O81" i="5"/>
  <c r="P27" i="5"/>
  <c r="P436" i="5" s="1"/>
  <c r="P42" i="5"/>
  <c r="P50" i="5" s="1"/>
  <c r="O23" i="5"/>
  <c r="AL58" i="5"/>
  <c r="AK61" i="5"/>
  <c r="P196" i="5"/>
  <c r="P198" i="5" s="1"/>
  <c r="P212" i="5" s="1"/>
  <c r="P216" i="5" s="1"/>
  <c r="P443" i="5" s="1"/>
  <c r="P222" i="5"/>
  <c r="AB335" i="5"/>
  <c r="AA337" i="5"/>
  <c r="X229" i="5"/>
  <c r="Y227" i="5"/>
  <c r="AB249" i="5"/>
  <c r="AA250" i="5"/>
  <c r="V123" i="5"/>
  <c r="AM141" i="5"/>
  <c r="AN115" i="5"/>
  <c r="AM115" i="5"/>
  <c r="DE17" i="7"/>
  <c r="DU17" i="7"/>
  <c r="DX17" i="7" s="1"/>
  <c r="DH30" i="7"/>
  <c r="EA30" i="7" s="1"/>
  <c r="DA18" i="7"/>
  <c r="DE18" i="7" s="1"/>
  <c r="T18" i="7"/>
  <c r="B18" i="32" s="1"/>
  <c r="AG25" i="7"/>
  <c r="DB28" i="7"/>
  <c r="DU28" i="7" s="1"/>
  <c r="AG19" i="7"/>
  <c r="DI30" i="7"/>
  <c r="EB30" i="7" s="1"/>
  <c r="AG23" i="7"/>
  <c r="DX25" i="7"/>
  <c r="E17" i="3"/>
  <c r="F16" i="3"/>
  <c r="F456" i="31" l="1"/>
  <c r="F457" i="31" s="1"/>
  <c r="F27" i="31"/>
  <c r="F436" i="31" s="1"/>
  <c r="H135" i="31"/>
  <c r="H365" i="31"/>
  <c r="H366" i="31" s="1"/>
  <c r="H360" i="31"/>
  <c r="H371" i="31"/>
  <c r="H372" i="31" s="1"/>
  <c r="I359" i="31"/>
  <c r="H297" i="31"/>
  <c r="R214" i="5"/>
  <c r="R295" i="5"/>
  <c r="R376" i="5"/>
  <c r="R160" i="5"/>
  <c r="R162" i="5" s="1"/>
  <c r="R441" i="5" s="1"/>
  <c r="S25" i="5"/>
  <c r="R106" i="5"/>
  <c r="R108" i="5" s="1"/>
  <c r="R439" i="5" s="1"/>
  <c r="R187" i="5"/>
  <c r="R189" i="5" s="1"/>
  <c r="R442" i="5" s="1"/>
  <c r="R133" i="5"/>
  <c r="R135" i="5" s="1"/>
  <c r="R440" i="5" s="1"/>
  <c r="R349" i="5"/>
  <c r="R79" i="5"/>
  <c r="R430" i="5"/>
  <c r="R52" i="5"/>
  <c r="R268" i="5"/>
  <c r="R241" i="5"/>
  <c r="R322" i="5"/>
  <c r="R403" i="5"/>
  <c r="O196" i="31"/>
  <c r="G270" i="31"/>
  <c r="K89" i="31"/>
  <c r="J101" i="31"/>
  <c r="J102" i="31" s="1"/>
  <c r="J90" i="31"/>
  <c r="J95" i="31"/>
  <c r="J96" i="31" s="1"/>
  <c r="V314" i="31"/>
  <c r="U316" i="31"/>
  <c r="Z148" i="5"/>
  <c r="AA146" i="5"/>
  <c r="Z391" i="5"/>
  <c r="AA389" i="5"/>
  <c r="DT18" i="7"/>
  <c r="DX18" i="7" s="1"/>
  <c r="D456" i="31"/>
  <c r="D457" i="31" s="1"/>
  <c r="AG119" i="31"/>
  <c r="H185" i="31"/>
  <c r="X337" i="31"/>
  <c r="Y335" i="31"/>
  <c r="Z200" i="31"/>
  <c r="Y202" i="31"/>
  <c r="I225" i="31"/>
  <c r="I236" i="31"/>
  <c r="I237" i="31" s="1"/>
  <c r="I230" i="31"/>
  <c r="I231" i="31" s="1"/>
  <c r="J224" i="31"/>
  <c r="V416" i="31"/>
  <c r="U418" i="31"/>
  <c r="CU41" i="28"/>
  <c r="DN41" i="28" s="1"/>
  <c r="I50" i="31"/>
  <c r="G324" i="31"/>
  <c r="W31" i="28"/>
  <c r="X26" i="28"/>
  <c r="W37" i="28"/>
  <c r="W42" i="28" s="1"/>
  <c r="W29" i="28"/>
  <c r="W35" i="28"/>
  <c r="W40" i="28" s="1"/>
  <c r="X24" i="28"/>
  <c r="AB368" i="5"/>
  <c r="AA370" i="5"/>
  <c r="AF31" i="31"/>
  <c r="AE34" i="31"/>
  <c r="J30" i="28"/>
  <c r="CW30" i="28" s="1"/>
  <c r="DP30" i="28" s="1"/>
  <c r="K25" i="28"/>
  <c r="J36" i="28"/>
  <c r="DP25" i="28"/>
  <c r="AC303" i="31"/>
  <c r="AD277" i="31"/>
  <c r="AH301" i="31"/>
  <c r="AG304" i="31"/>
  <c r="E77" i="31"/>
  <c r="V169" i="31"/>
  <c r="W168" i="31"/>
  <c r="V195" i="31"/>
  <c r="U154" i="31"/>
  <c r="V152" i="31"/>
  <c r="I405" i="31"/>
  <c r="I450" i="31" s="1"/>
  <c r="U262" i="31"/>
  <c r="V260" i="31"/>
  <c r="I347" i="31"/>
  <c r="I351" i="31" s="1"/>
  <c r="I448" i="31" s="1"/>
  <c r="DR40" i="28"/>
  <c r="CY40" i="28"/>
  <c r="X206" i="31"/>
  <c r="W208" i="31"/>
  <c r="J401" i="31"/>
  <c r="J405" i="31" s="1"/>
  <c r="J450" i="31" s="1"/>
  <c r="U11" i="31"/>
  <c r="T65" i="31"/>
  <c r="T67" i="31" s="1"/>
  <c r="T13" i="31"/>
  <c r="U343" i="31"/>
  <c r="V341" i="31"/>
  <c r="T36" i="28"/>
  <c r="T41" i="28" s="1"/>
  <c r="T43" i="28" s="1"/>
  <c r="U25" i="28"/>
  <c r="T30" i="28"/>
  <c r="T32" i="28" s="1"/>
  <c r="Q23" i="5"/>
  <c r="R216" i="5"/>
  <c r="R443" i="5" s="1"/>
  <c r="AI88" i="31"/>
  <c r="AJ85" i="31"/>
  <c r="AJ88" i="31" s="1"/>
  <c r="L158" i="31"/>
  <c r="V17" i="31"/>
  <c r="U71" i="31"/>
  <c r="U73" i="31" s="1"/>
  <c r="U75" i="31" s="1"/>
  <c r="U19" i="31"/>
  <c r="W308" i="31"/>
  <c r="V310" i="31"/>
  <c r="Q276" i="5"/>
  <c r="Q250" i="5"/>
  <c r="Q252" i="5" s="1"/>
  <c r="Q266" i="5" s="1"/>
  <c r="Q270" i="5" s="1"/>
  <c r="Q445" i="5" s="1"/>
  <c r="R20" i="5"/>
  <c r="R21" i="5" s="1"/>
  <c r="S8" i="5"/>
  <c r="R9" i="5"/>
  <c r="R14" i="5"/>
  <c r="AJ247" i="31"/>
  <c r="AJ250" i="31" s="1"/>
  <c r="AI250" i="31"/>
  <c r="K35" i="31"/>
  <c r="J41" i="31"/>
  <c r="J42" i="31" s="1"/>
  <c r="J47" i="31"/>
  <c r="J48" i="31" s="1"/>
  <c r="J36" i="31"/>
  <c r="AA412" i="5"/>
  <c r="AB411" i="5"/>
  <c r="AG409" i="31"/>
  <c r="J403" i="31"/>
  <c r="J295" i="31"/>
  <c r="J160" i="31"/>
  <c r="J162" i="31" s="1"/>
  <c r="J441" i="31" s="1"/>
  <c r="J79" i="31"/>
  <c r="J81" i="31" s="1"/>
  <c r="J438" i="31" s="1"/>
  <c r="J430" i="31"/>
  <c r="J268" i="31"/>
  <c r="J187" i="31"/>
  <c r="J349" i="31"/>
  <c r="J214" i="31"/>
  <c r="J52" i="31"/>
  <c r="J322" i="31"/>
  <c r="J324" i="31" s="1"/>
  <c r="J447" i="31" s="1"/>
  <c r="J106" i="31"/>
  <c r="K25" i="31"/>
  <c r="J376" i="31"/>
  <c r="J133" i="31"/>
  <c r="J241" i="31"/>
  <c r="N249" i="31"/>
  <c r="O222" i="31"/>
  <c r="N223" i="31"/>
  <c r="M40" i="28"/>
  <c r="DS35" i="28"/>
  <c r="I419" i="31"/>
  <c r="I420" i="31" s="1"/>
  <c r="I425" i="31"/>
  <c r="I426" i="31" s="1"/>
  <c r="J413" i="31"/>
  <c r="I293" i="31"/>
  <c r="I297" i="31" s="1"/>
  <c r="I446" i="31" s="1"/>
  <c r="Z341" i="5"/>
  <c r="Y343" i="5"/>
  <c r="U227" i="31"/>
  <c r="T229" i="31"/>
  <c r="U196" i="31"/>
  <c r="U222" i="31"/>
  <c r="U223" i="31" s="1"/>
  <c r="AF330" i="31"/>
  <c r="I108" i="31"/>
  <c r="I439" i="31" s="1"/>
  <c r="DR29" i="28"/>
  <c r="Y222" i="5"/>
  <c r="Y223" i="5" s="1"/>
  <c r="Y196" i="5"/>
  <c r="Y198" i="5" s="1"/>
  <c r="K332" i="31"/>
  <c r="J338" i="31"/>
  <c r="J339" i="31" s="1"/>
  <c r="J344" i="31"/>
  <c r="J345" i="31" s="1"/>
  <c r="J333" i="31"/>
  <c r="L386" i="31"/>
  <c r="K398" i="31"/>
  <c r="K399" i="31" s="1"/>
  <c r="K392" i="31"/>
  <c r="K393" i="31" s="1"/>
  <c r="J251" i="31"/>
  <c r="I257" i="31"/>
  <c r="I258" i="31" s="1"/>
  <c r="I252" i="31"/>
  <c r="I263" i="31"/>
  <c r="I264" i="31" s="1"/>
  <c r="AH274" i="31"/>
  <c r="AG277" i="31"/>
  <c r="G243" i="31"/>
  <c r="J117" i="31"/>
  <c r="J128" i="31"/>
  <c r="J129" i="31" s="1"/>
  <c r="J122" i="31"/>
  <c r="J123" i="31" s="1"/>
  <c r="K116" i="31"/>
  <c r="Z254" i="31"/>
  <c r="Y256" i="31"/>
  <c r="AE223" i="31"/>
  <c r="X127" i="31"/>
  <c r="Y125" i="31"/>
  <c r="X92" i="31"/>
  <c r="W94" i="31"/>
  <c r="R249" i="5"/>
  <c r="R223" i="5"/>
  <c r="H198" i="31"/>
  <c r="H212" i="31" s="1"/>
  <c r="H209" i="31"/>
  <c r="H210" i="31" s="1"/>
  <c r="I197" i="31"/>
  <c r="H203" i="31"/>
  <c r="H204" i="31" s="1"/>
  <c r="I176" i="31"/>
  <c r="I177" i="31" s="1"/>
  <c r="J170" i="31"/>
  <c r="I171" i="31"/>
  <c r="AA422" i="31"/>
  <c r="Z424" i="31"/>
  <c r="AH112" i="31"/>
  <c r="AG115" i="31"/>
  <c r="AC142" i="31"/>
  <c r="AA142" i="31"/>
  <c r="AB141" i="31"/>
  <c r="AF193" i="31"/>
  <c r="AG193" i="31" s="1"/>
  <c r="AE196" i="31"/>
  <c r="S251" i="5"/>
  <c r="R263" i="5"/>
  <c r="R264" i="5" s="1"/>
  <c r="R257" i="5"/>
  <c r="R258" i="5" s="1"/>
  <c r="X155" i="5"/>
  <c r="X156" i="5" s="1"/>
  <c r="Y143" i="5"/>
  <c r="X149" i="5"/>
  <c r="X150" i="5" s="1"/>
  <c r="X144" i="5"/>
  <c r="V181" i="31"/>
  <c r="W179" i="31"/>
  <c r="T397" i="31"/>
  <c r="U395" i="31"/>
  <c r="AF169" i="31"/>
  <c r="AF195" i="31"/>
  <c r="AG169" i="31"/>
  <c r="W401" i="5"/>
  <c r="X420" i="5"/>
  <c r="M155" i="31"/>
  <c r="M156" i="31" s="1"/>
  <c r="M144" i="31"/>
  <c r="N143" i="31"/>
  <c r="M149" i="31"/>
  <c r="M150" i="31" s="1"/>
  <c r="X368" i="31"/>
  <c r="W370" i="31"/>
  <c r="V311" i="5"/>
  <c r="U312" i="5"/>
  <c r="D27" i="31"/>
  <c r="T182" i="31"/>
  <c r="S183" i="31"/>
  <c r="H239" i="31"/>
  <c r="H243" i="31" s="1"/>
  <c r="H444" i="31" s="1"/>
  <c r="I428" i="31"/>
  <c r="I432" i="31" s="1"/>
  <c r="I451" i="31" s="1"/>
  <c r="AM355" i="5"/>
  <c r="AL358" i="5"/>
  <c r="G65" i="31"/>
  <c r="G67" i="31" s="1"/>
  <c r="G69" i="31" s="1"/>
  <c r="G77" i="31" s="1"/>
  <c r="G81" i="31" s="1"/>
  <c r="G438" i="31" s="1"/>
  <c r="H11" i="31"/>
  <c r="G13" i="31"/>
  <c r="H14" i="31"/>
  <c r="H9" i="31"/>
  <c r="H20" i="31"/>
  <c r="H21" i="31" s="1"/>
  <c r="I8" i="31"/>
  <c r="S69" i="1"/>
  <c r="Z310" i="5"/>
  <c r="AA308" i="5"/>
  <c r="N29" i="28"/>
  <c r="DA29" i="28" s="1"/>
  <c r="DT29" i="28" s="1"/>
  <c r="N35" i="28"/>
  <c r="DT24" i="28"/>
  <c r="DU24" i="28" s="1"/>
  <c r="I41" i="28"/>
  <c r="DO36" i="28"/>
  <c r="V281" i="31"/>
  <c r="U283" i="31"/>
  <c r="H428" i="31"/>
  <c r="H432" i="31" s="1"/>
  <c r="H451" i="31" s="1"/>
  <c r="W40" i="31"/>
  <c r="X38" i="31"/>
  <c r="J290" i="31"/>
  <c r="J291" i="31" s="1"/>
  <c r="K278" i="31"/>
  <c r="J284" i="31"/>
  <c r="J285" i="31" s="1"/>
  <c r="J279" i="31"/>
  <c r="U364" i="31"/>
  <c r="V362" i="31"/>
  <c r="AA168" i="5"/>
  <c r="Z195" i="5"/>
  <c r="Z169" i="5"/>
  <c r="Z416" i="5"/>
  <c r="Y418" i="5"/>
  <c r="U287" i="31"/>
  <c r="T289" i="31"/>
  <c r="AI58" i="31"/>
  <c r="AH61" i="31"/>
  <c r="W158" i="5"/>
  <c r="H266" i="31"/>
  <c r="H270" i="31" s="1"/>
  <c r="H445" i="31" s="1"/>
  <c r="U100" i="31"/>
  <c r="V98" i="31"/>
  <c r="U148" i="31"/>
  <c r="V146" i="31"/>
  <c r="I131" i="31"/>
  <c r="I135" i="31" s="1"/>
  <c r="I440" i="31" s="1"/>
  <c r="W175" i="31"/>
  <c r="X173" i="31"/>
  <c r="AE331" i="31"/>
  <c r="AE357" i="31"/>
  <c r="DC24" i="7"/>
  <c r="DV24" i="7" s="1"/>
  <c r="CZ26" i="7"/>
  <c r="DS26" i="7" s="1"/>
  <c r="M376" i="5"/>
  <c r="M378" i="5" s="1"/>
  <c r="M449" i="5" s="1"/>
  <c r="M297" i="5"/>
  <c r="M446" i="5" s="1"/>
  <c r="K40" i="7"/>
  <c r="K50" i="7"/>
  <c r="K13" i="7"/>
  <c r="DO13" i="7" s="1"/>
  <c r="K37" i="7"/>
  <c r="DO37" i="7" s="1"/>
  <c r="K133" i="1"/>
  <c r="K114" i="1"/>
  <c r="K47" i="1"/>
  <c r="K130" i="1"/>
  <c r="K111" i="1"/>
  <c r="K77" i="1"/>
  <c r="K38" i="1"/>
  <c r="DO3" i="7"/>
  <c r="DO50" i="7" s="1"/>
  <c r="K174" i="1"/>
  <c r="K182" i="1" s="1"/>
  <c r="K125" i="1"/>
  <c r="K50" i="1"/>
  <c r="K41" i="1"/>
  <c r="K122" i="1"/>
  <c r="K94" i="1"/>
  <c r="K44" i="1"/>
  <c r="W384" i="31"/>
  <c r="V385" i="31"/>
  <c r="V357" i="31"/>
  <c r="U358" i="31"/>
  <c r="V276" i="31"/>
  <c r="U277" i="31"/>
  <c r="CT31" i="28"/>
  <c r="G32" i="28"/>
  <c r="DJ43" i="28"/>
  <c r="X44" i="5"/>
  <c r="X46" i="5" s="1"/>
  <c r="Y17" i="5"/>
  <c r="X19" i="5"/>
  <c r="S169" i="5"/>
  <c r="S195" i="5"/>
  <c r="T168" i="5"/>
  <c r="Z175" i="5"/>
  <c r="AA173" i="5"/>
  <c r="AC125" i="5"/>
  <c r="AB127" i="5"/>
  <c r="E351" i="31"/>
  <c r="E456" i="31"/>
  <c r="E457" i="31" s="1"/>
  <c r="G358" i="5"/>
  <c r="F360" i="5"/>
  <c r="F411" i="5"/>
  <c r="G384" i="5"/>
  <c r="F385" i="5"/>
  <c r="AB100" i="1"/>
  <c r="AA107" i="1"/>
  <c r="AA28" i="7" s="1"/>
  <c r="V330" i="31"/>
  <c r="U331" i="31"/>
  <c r="CR43" i="28"/>
  <c r="AE283" i="5"/>
  <c r="AF281" i="5"/>
  <c r="F446" i="5"/>
  <c r="G297" i="5"/>
  <c r="G446" i="5" s="1"/>
  <c r="J13" i="7"/>
  <c r="DN13" i="7" s="1"/>
  <c r="J50" i="7"/>
  <c r="J37" i="7"/>
  <c r="DN37" i="7" s="1"/>
  <c r="J40" i="7"/>
  <c r="J122" i="1"/>
  <c r="J94" i="1"/>
  <c r="J44" i="1"/>
  <c r="J174" i="1"/>
  <c r="J182" i="1" s="1"/>
  <c r="J125" i="1"/>
  <c r="J50" i="1"/>
  <c r="J41" i="1"/>
  <c r="DN3" i="7"/>
  <c r="DN50" i="7" s="1"/>
  <c r="J130" i="1"/>
  <c r="J111" i="1"/>
  <c r="J77" i="1"/>
  <c r="J38" i="1"/>
  <c r="J133" i="1"/>
  <c r="J114" i="1"/>
  <c r="J47" i="1"/>
  <c r="AK328" i="5"/>
  <c r="AJ331" i="5"/>
  <c r="Z289" i="5"/>
  <c r="AA287" i="5"/>
  <c r="X338" i="5"/>
  <c r="X339" i="5" s="1"/>
  <c r="Y332" i="5"/>
  <c r="X344" i="5"/>
  <c r="X345" i="5" s="1"/>
  <c r="X333" i="5"/>
  <c r="X347" i="5" s="1"/>
  <c r="X428" i="5"/>
  <c r="T306" i="31"/>
  <c r="U305" i="31"/>
  <c r="AD364" i="5"/>
  <c r="AE362" i="5"/>
  <c r="Z170" i="5"/>
  <c r="Y171" i="5"/>
  <c r="Y176" i="5"/>
  <c r="D443" i="31"/>
  <c r="D441" i="31"/>
  <c r="V311" i="31"/>
  <c r="U312" i="31"/>
  <c r="AF233" i="31"/>
  <c r="AE235" i="31"/>
  <c r="F324" i="5"/>
  <c r="G320" i="5"/>
  <c r="Q224" i="5"/>
  <c r="P230" i="5"/>
  <c r="P231" i="5" s="1"/>
  <c r="P236" i="5"/>
  <c r="P237" i="5" s="1"/>
  <c r="L6" i="7"/>
  <c r="I6" i="7"/>
  <c r="DK32" i="28"/>
  <c r="Z208" i="5"/>
  <c r="AA206" i="5"/>
  <c r="N222" i="5"/>
  <c r="N196" i="5"/>
  <c r="N198" i="5" s="1"/>
  <c r="AB397" i="5"/>
  <c r="AC395" i="5"/>
  <c r="AE69" i="31"/>
  <c r="AF68" i="31"/>
  <c r="V62" i="31"/>
  <c r="U63" i="31"/>
  <c r="C378" i="31"/>
  <c r="D439" i="31"/>
  <c r="AH119" i="31"/>
  <c r="AG121" i="31"/>
  <c r="W123" i="5"/>
  <c r="W131" i="5" s="1"/>
  <c r="Z291" i="5"/>
  <c r="Z293" i="5" s="1"/>
  <c r="L452" i="5"/>
  <c r="L3" i="7" s="1"/>
  <c r="H27" i="5"/>
  <c r="H436" i="5" s="1"/>
  <c r="H452" i="5" s="1"/>
  <c r="H3" i="7" s="1"/>
  <c r="H456" i="5"/>
  <c r="H457" i="5" s="1"/>
  <c r="CS42" i="28"/>
  <c r="CS43" i="28" s="1"/>
  <c r="F43" i="28"/>
  <c r="DM37" i="28"/>
  <c r="G42" i="28"/>
  <c r="H31" i="28"/>
  <c r="DN26" i="28"/>
  <c r="H37" i="28"/>
  <c r="I26" i="28"/>
  <c r="S144" i="5"/>
  <c r="T142" i="5"/>
  <c r="Y177" i="5"/>
  <c r="X128" i="5"/>
  <c r="X129" i="5" s="1"/>
  <c r="X122" i="5"/>
  <c r="Y116" i="5"/>
  <c r="X117" i="5"/>
  <c r="AB422" i="5"/>
  <c r="AA424" i="5"/>
  <c r="C428" i="31"/>
  <c r="AC389" i="31"/>
  <c r="AA391" i="31"/>
  <c r="AB389" i="31"/>
  <c r="AH34" i="5"/>
  <c r="AG33" i="5"/>
  <c r="AF34" i="5"/>
  <c r="AG34" i="5" s="1"/>
  <c r="F347" i="5"/>
  <c r="G333" i="5"/>
  <c r="DK42" i="28"/>
  <c r="AB179" i="5"/>
  <c r="AA181" i="5"/>
  <c r="G463" i="31"/>
  <c r="G465" i="31" s="1"/>
  <c r="F442" i="31"/>
  <c r="F452" i="31" s="1"/>
  <c r="M430" i="5"/>
  <c r="M432" i="5" s="1"/>
  <c r="M451" i="5" s="1"/>
  <c r="M351" i="5"/>
  <c r="M448" i="5" s="1"/>
  <c r="U412" i="31"/>
  <c r="V411" i="31"/>
  <c r="J6" i="7"/>
  <c r="K6" i="7"/>
  <c r="AL85" i="5"/>
  <c r="AK88" i="5"/>
  <c r="AJ7" i="5"/>
  <c r="AK4" i="5"/>
  <c r="DL31" i="28"/>
  <c r="DL32" i="28" s="1"/>
  <c r="CS32" i="28"/>
  <c r="X398" i="5"/>
  <c r="X399" i="5" s="1"/>
  <c r="Y386" i="5"/>
  <c r="X387" i="5"/>
  <c r="X392" i="5"/>
  <c r="X393" i="5" s="1"/>
  <c r="N135" i="5"/>
  <c r="T131" i="5"/>
  <c r="W347" i="5"/>
  <c r="Y419" i="5"/>
  <c r="Y420" i="5" s="1"/>
  <c r="Y414" i="5"/>
  <c r="Y425" i="5"/>
  <c r="Y426" i="5" s="1"/>
  <c r="Z413" i="5"/>
  <c r="S320" i="31"/>
  <c r="AD152" i="5"/>
  <c r="AC154" i="5"/>
  <c r="AF74" i="31"/>
  <c r="AE75" i="31"/>
  <c r="C401" i="31"/>
  <c r="AD455" i="31"/>
  <c r="I37" i="7"/>
  <c r="DM37" i="7" s="1"/>
  <c r="I50" i="7"/>
  <c r="I40" i="7"/>
  <c r="I13" i="7"/>
  <c r="DM13" i="7" s="1"/>
  <c r="I133" i="1"/>
  <c r="I114" i="1"/>
  <c r="I47" i="1"/>
  <c r="I130" i="1"/>
  <c r="I111" i="1"/>
  <c r="I77" i="1"/>
  <c r="I38" i="1"/>
  <c r="I174" i="1"/>
  <c r="I182" i="1" s="1"/>
  <c r="I125" i="1"/>
  <c r="I50" i="1"/>
  <c r="I41" i="1"/>
  <c r="I122" i="1"/>
  <c r="I94" i="1"/>
  <c r="I44" i="1"/>
  <c r="DM3" i="7"/>
  <c r="DM50" i="7" s="1"/>
  <c r="AB6" i="5"/>
  <c r="AA7" i="5"/>
  <c r="U317" i="31"/>
  <c r="T318" i="31"/>
  <c r="C463" i="31"/>
  <c r="C465" i="31" s="1"/>
  <c r="G405" i="31"/>
  <c r="G450" i="31" s="1"/>
  <c r="P76" i="1"/>
  <c r="P26" i="7" s="1"/>
  <c r="Q65" i="1"/>
  <c r="R63" i="1"/>
  <c r="Q70" i="1"/>
  <c r="P89" i="1"/>
  <c r="O93" i="1"/>
  <c r="O27" i="7" s="1"/>
  <c r="CZ27" i="7" s="1"/>
  <c r="DS27" i="7" s="1"/>
  <c r="S24" i="7"/>
  <c r="T46" i="1"/>
  <c r="T24" i="7"/>
  <c r="B32" i="32" s="1"/>
  <c r="H11" i="11"/>
  <c r="H12" i="11" s="1"/>
  <c r="CY20" i="7"/>
  <c r="DR20" i="7" s="1"/>
  <c r="DQ16" i="7"/>
  <c r="DR16" i="7"/>
  <c r="O28" i="1"/>
  <c r="O32" i="1" s="1"/>
  <c r="O20" i="7" s="1"/>
  <c r="CZ20" i="7" s="1"/>
  <c r="DS20" i="7" s="1"/>
  <c r="O16" i="7"/>
  <c r="CS46" i="7"/>
  <c r="DL46" i="7" s="1"/>
  <c r="J144" i="1"/>
  <c r="J146" i="1" s="1"/>
  <c r="L20" i="16"/>
  <c r="K139" i="1"/>
  <c r="K141" i="1" s="1"/>
  <c r="L23" i="16"/>
  <c r="K142" i="1"/>
  <c r="CT46" i="7"/>
  <c r="DM46" i="7" s="1"/>
  <c r="AL31" i="5"/>
  <c r="AK34" i="5"/>
  <c r="AL412" i="5"/>
  <c r="AM409" i="5"/>
  <c r="AL169" i="5"/>
  <c r="AM166" i="5"/>
  <c r="Q318" i="5"/>
  <c r="R317" i="5"/>
  <c r="Q77" i="5"/>
  <c r="Q81" i="5" s="1"/>
  <c r="Q438" i="5" s="1"/>
  <c r="N54" i="5"/>
  <c r="N437" i="5" s="1"/>
  <c r="Q168" i="1"/>
  <c r="R117" i="1"/>
  <c r="R119" i="1" s="1"/>
  <c r="R31" i="7" s="1"/>
  <c r="AE15" i="1"/>
  <c r="AE17" i="7" s="1"/>
  <c r="AI20" i="1"/>
  <c r="AI18" i="7" s="1"/>
  <c r="AJ18" i="1"/>
  <c r="AC143" i="1"/>
  <c r="AN25" i="1"/>
  <c r="AN19" i="7" s="1"/>
  <c r="AO23" i="1"/>
  <c r="AO25" i="1" s="1"/>
  <c r="AO19" i="7" s="1"/>
  <c r="AC140" i="1"/>
  <c r="P35" i="1"/>
  <c r="Q8" i="1"/>
  <c r="P10" i="1"/>
  <c r="O189" i="1"/>
  <c r="O190" i="1" s="1"/>
  <c r="O14" i="11" s="1"/>
  <c r="O37" i="1"/>
  <c r="O21" i="7" s="1"/>
  <c r="AD188" i="1"/>
  <c r="AB91" i="1"/>
  <c r="DH24" i="7"/>
  <c r="EA24" i="7" s="1"/>
  <c r="DY40" i="28"/>
  <c r="DY43" i="28" s="1"/>
  <c r="DX40" i="28"/>
  <c r="DX43" i="28" s="1"/>
  <c r="DI25" i="7"/>
  <c r="EB25" i="7" s="1"/>
  <c r="DF42" i="28"/>
  <c r="DY42" i="28" s="1"/>
  <c r="P54" i="5"/>
  <c r="AN142" i="5"/>
  <c r="AM142" i="5"/>
  <c r="AC249" i="5"/>
  <c r="AB250" i="5"/>
  <c r="AB304" i="5"/>
  <c r="AC303" i="5"/>
  <c r="O250" i="5"/>
  <c r="O276" i="5"/>
  <c r="X306" i="5"/>
  <c r="Y305" i="5"/>
  <c r="AD455" i="5"/>
  <c r="AO304" i="5"/>
  <c r="AN304" i="5"/>
  <c r="Y119" i="5"/>
  <c r="X121" i="5"/>
  <c r="X204" i="5"/>
  <c r="AB98" i="5"/>
  <c r="AA100" i="5"/>
  <c r="AA284" i="5"/>
  <c r="AA285" i="5" s="1"/>
  <c r="AA290" i="5"/>
  <c r="AB278" i="5"/>
  <c r="Z209" i="5"/>
  <c r="Z210" i="5" s="1"/>
  <c r="Z203" i="5"/>
  <c r="AA197" i="5"/>
  <c r="X104" i="5"/>
  <c r="P185" i="5"/>
  <c r="Q42" i="5"/>
  <c r="Q50" i="5" s="1"/>
  <c r="Q54" i="5" s="1"/>
  <c r="Q437" i="5" s="1"/>
  <c r="S11" i="5"/>
  <c r="R38" i="5"/>
  <c r="R40" i="5" s="1"/>
  <c r="R13" i="5"/>
  <c r="AL304" i="5"/>
  <c r="AM304" i="5"/>
  <c r="Y293" i="5"/>
  <c r="AA94" i="5"/>
  <c r="AB92" i="5"/>
  <c r="AA256" i="5"/>
  <c r="AB254" i="5"/>
  <c r="R41" i="5"/>
  <c r="R47" i="5"/>
  <c r="R48" i="5" s="1"/>
  <c r="R36" i="5"/>
  <c r="W183" i="5"/>
  <c r="X182" i="5"/>
  <c r="V131" i="5"/>
  <c r="Z227" i="5"/>
  <c r="Y229" i="5"/>
  <c r="AB337" i="5"/>
  <c r="AC335" i="5"/>
  <c r="P249" i="5"/>
  <c r="P223" i="5"/>
  <c r="P225" i="5" s="1"/>
  <c r="AM58" i="5"/>
  <c r="AL61" i="5"/>
  <c r="O27" i="5"/>
  <c r="O438" i="5"/>
  <c r="AL142" i="5"/>
  <c r="AK142" i="5"/>
  <c r="AB276" i="5"/>
  <c r="AA277" i="5"/>
  <c r="AA279" i="5" s="1"/>
  <c r="AM247" i="5"/>
  <c r="AL250" i="5"/>
  <c r="Z262" i="5"/>
  <c r="AA260" i="5"/>
  <c r="AA235" i="5"/>
  <c r="AB233" i="5"/>
  <c r="O225" i="5"/>
  <c r="R74" i="5"/>
  <c r="R75" i="5" s="1"/>
  <c r="R68" i="5"/>
  <c r="R69" i="5" s="1"/>
  <c r="R63" i="5"/>
  <c r="Y202" i="5"/>
  <c r="Y204" i="5" s="1"/>
  <c r="Y212" i="5" s="1"/>
  <c r="Z200" i="5"/>
  <c r="Y90" i="5"/>
  <c r="Y101" i="5"/>
  <c r="Y102" i="5" s="1"/>
  <c r="Y95" i="5"/>
  <c r="Y96" i="5" s="1"/>
  <c r="Z89" i="5"/>
  <c r="Q27" i="5"/>
  <c r="Q436" i="5" s="1"/>
  <c r="AD314" i="5"/>
  <c r="AC316" i="5"/>
  <c r="Y371" i="5"/>
  <c r="Y372" i="5" s="1"/>
  <c r="Y365" i="5"/>
  <c r="Y366" i="5" s="1"/>
  <c r="Z359" i="5"/>
  <c r="Y360" i="5"/>
  <c r="O212" i="5"/>
  <c r="P162" i="5"/>
  <c r="AB67" i="5"/>
  <c r="AC65" i="5"/>
  <c r="AG34" i="7"/>
  <c r="DG19" i="7"/>
  <c r="DZ19" i="7" s="1"/>
  <c r="DD28" i="7"/>
  <c r="E18" i="3"/>
  <c r="F17" i="3"/>
  <c r="X179" i="31" l="1"/>
  <c r="W181" i="31"/>
  <c r="Y155" i="5"/>
  <c r="Y156" i="5" s="1"/>
  <c r="Z143" i="5"/>
  <c r="Y144" i="5"/>
  <c r="Y149" i="5"/>
  <c r="Y150" i="5" s="1"/>
  <c r="AB142" i="31"/>
  <c r="H216" i="31"/>
  <c r="G444" i="31"/>
  <c r="V19" i="31"/>
  <c r="W17" i="31"/>
  <c r="V71" i="31"/>
  <c r="V73" i="31" s="1"/>
  <c r="K401" i="31"/>
  <c r="E81" i="31"/>
  <c r="O77" i="31"/>
  <c r="AC368" i="5"/>
  <c r="AB370" i="5"/>
  <c r="G447" i="31"/>
  <c r="J225" i="31"/>
  <c r="J236" i="31"/>
  <c r="J237" i="31" s="1"/>
  <c r="J230" i="31"/>
  <c r="J231" i="31" s="1"/>
  <c r="K224" i="31"/>
  <c r="H189" i="31"/>
  <c r="Q72" i="1"/>
  <c r="Q76" i="1" s="1"/>
  <c r="Q26" i="7" s="1"/>
  <c r="DL42" i="28"/>
  <c r="DL43" i="28" s="1"/>
  <c r="X401" i="5"/>
  <c r="V100" i="31"/>
  <c r="W98" i="31"/>
  <c r="AA195" i="5"/>
  <c r="AA169" i="5"/>
  <c r="AB168" i="5"/>
  <c r="O67" i="31"/>
  <c r="H65" i="31"/>
  <c r="H67" i="31" s="1"/>
  <c r="H69" i="31" s="1"/>
  <c r="H77" i="31" s="1"/>
  <c r="H81" i="31" s="1"/>
  <c r="H438" i="31" s="1"/>
  <c r="H13" i="31"/>
  <c r="O13" i="31" s="1"/>
  <c r="N149" i="31"/>
  <c r="N150" i="31" s="1"/>
  <c r="N155" i="31"/>
  <c r="N156" i="31" s="1"/>
  <c r="O156" i="31" s="1"/>
  <c r="O143" i="31"/>
  <c r="P143" i="31"/>
  <c r="N144" i="31"/>
  <c r="O144" i="31" s="1"/>
  <c r="AF196" i="31"/>
  <c r="AF222" i="31"/>
  <c r="U397" i="31"/>
  <c r="V395" i="31"/>
  <c r="X158" i="5"/>
  <c r="AH193" i="31"/>
  <c r="AG196" i="31"/>
  <c r="I203" i="31"/>
  <c r="I204" i="31" s="1"/>
  <c r="I209" i="31"/>
  <c r="I210" i="31" s="1"/>
  <c r="I198" i="31"/>
  <c r="J197" i="31"/>
  <c r="R276" i="5"/>
  <c r="R250" i="5"/>
  <c r="R252" i="5" s="1"/>
  <c r="R266" i="5" s="1"/>
  <c r="R270" i="5" s="1"/>
  <c r="R445" i="5" s="1"/>
  <c r="Y127" i="31"/>
  <c r="Z125" i="31"/>
  <c r="Z256" i="31"/>
  <c r="AA254" i="31"/>
  <c r="J131" i="31"/>
  <c r="AH277" i="31"/>
  <c r="AI274" i="31"/>
  <c r="K251" i="31"/>
  <c r="J263" i="31"/>
  <c r="J264" i="31" s="1"/>
  <c r="J257" i="31"/>
  <c r="J258" i="31" s="1"/>
  <c r="J252" i="31"/>
  <c r="J347" i="31"/>
  <c r="J351" i="31" s="1"/>
  <c r="J448" i="31" s="1"/>
  <c r="AA341" i="5"/>
  <c r="Z343" i="5"/>
  <c r="DS40" i="28"/>
  <c r="CZ40" i="28"/>
  <c r="K376" i="31"/>
  <c r="K214" i="31"/>
  <c r="K133" i="31"/>
  <c r="K52" i="31"/>
  <c r="K403" i="31"/>
  <c r="K268" i="31"/>
  <c r="K160" i="31"/>
  <c r="K162" i="31" s="1"/>
  <c r="K322" i="31"/>
  <c r="K324" i="31" s="1"/>
  <c r="K447" i="31" s="1"/>
  <c r="K187" i="31"/>
  <c r="L25" i="31"/>
  <c r="K430" i="31"/>
  <c r="K295" i="31"/>
  <c r="K79" i="31"/>
  <c r="K81" i="31" s="1"/>
  <c r="K438" i="31" s="1"/>
  <c r="K241" i="31"/>
  <c r="K106" i="31"/>
  <c r="K349" i="31"/>
  <c r="G15" i="31"/>
  <c r="S14" i="5"/>
  <c r="S20" i="5"/>
  <c r="S21" i="5" s="1"/>
  <c r="T21" i="5" s="1"/>
  <c r="U8" i="5"/>
  <c r="S9" i="5"/>
  <c r="T9" i="5" s="1"/>
  <c r="T8" i="5"/>
  <c r="V343" i="31"/>
  <c r="W341" i="31"/>
  <c r="T69" i="31"/>
  <c r="T77" i="31" s="1"/>
  <c r="V154" i="31"/>
  <c r="W152" i="31"/>
  <c r="AH304" i="31"/>
  <c r="AI301" i="31"/>
  <c r="DP36" i="28"/>
  <c r="J41" i="28"/>
  <c r="AG31" i="31"/>
  <c r="AF34" i="31"/>
  <c r="Y337" i="31"/>
  <c r="Z335" i="31"/>
  <c r="H374" i="31"/>
  <c r="W362" i="31"/>
  <c r="V364" i="31"/>
  <c r="AJ58" i="31"/>
  <c r="AJ61" i="31" s="1"/>
  <c r="AI61" i="31"/>
  <c r="Z418" i="5"/>
  <c r="AA416" i="5"/>
  <c r="J293" i="31"/>
  <c r="J297" i="31" s="1"/>
  <c r="J446" i="31" s="1"/>
  <c r="Y38" i="31"/>
  <c r="X40" i="31"/>
  <c r="W281" i="31"/>
  <c r="V283" i="31"/>
  <c r="DT35" i="28"/>
  <c r="DU35" i="28" s="1"/>
  <c r="N40" i="28"/>
  <c r="H463" i="31"/>
  <c r="H465" i="31" s="1"/>
  <c r="D436" i="31"/>
  <c r="M158" i="31"/>
  <c r="AI112" i="31"/>
  <c r="AH115" i="31"/>
  <c r="J171" i="31"/>
  <c r="J185" i="31" s="1"/>
  <c r="J189" i="31" s="1"/>
  <c r="J442" i="31" s="1"/>
  <c r="K170" i="31"/>
  <c r="J176" i="31"/>
  <c r="J177" i="31" s="1"/>
  <c r="K128" i="31"/>
  <c r="K129" i="31" s="1"/>
  <c r="K122" i="31"/>
  <c r="K123" i="31" s="1"/>
  <c r="K117" i="31"/>
  <c r="L116" i="31"/>
  <c r="AF331" i="31"/>
  <c r="AF357" i="31"/>
  <c r="O223" i="31"/>
  <c r="AC411" i="5"/>
  <c r="AB412" i="5"/>
  <c r="U13" i="31"/>
  <c r="U65" i="31"/>
  <c r="U67" i="31" s="1"/>
  <c r="U69" i="31" s="1"/>
  <c r="V11" i="31"/>
  <c r="O29" i="28"/>
  <c r="O69" i="31"/>
  <c r="K30" i="28"/>
  <c r="L25" i="28"/>
  <c r="K36" i="28"/>
  <c r="DQ25" i="28"/>
  <c r="I54" i="31"/>
  <c r="W416" i="31"/>
  <c r="V418" i="31"/>
  <c r="I239" i="31"/>
  <c r="I243" i="31" s="1"/>
  <c r="I444" i="31" s="1"/>
  <c r="J104" i="31"/>
  <c r="G445" i="31"/>
  <c r="H446" i="31"/>
  <c r="Y173" i="31"/>
  <c r="X175" i="31"/>
  <c r="V148" i="31"/>
  <c r="W146" i="31"/>
  <c r="T69" i="1"/>
  <c r="U69" i="1" s="1"/>
  <c r="U182" i="31"/>
  <c r="T183" i="31"/>
  <c r="Y368" i="31"/>
  <c r="X370" i="31"/>
  <c r="S257" i="5"/>
  <c r="S258" i="5" s="1"/>
  <c r="T258" i="5" s="1"/>
  <c r="U251" i="5"/>
  <c r="S263" i="5"/>
  <c r="S264" i="5" s="1"/>
  <c r="T264" i="5" s="1"/>
  <c r="T251" i="5"/>
  <c r="I185" i="31"/>
  <c r="I189" i="31" s="1"/>
  <c r="I442" i="31" s="1"/>
  <c r="I266" i="31"/>
  <c r="I270" i="31" s="1"/>
  <c r="I445" i="31" s="1"/>
  <c r="DU29" i="28"/>
  <c r="U229" i="31"/>
  <c r="V227" i="31"/>
  <c r="K47" i="31"/>
  <c r="K48" i="31" s="1"/>
  <c r="K36" i="31"/>
  <c r="K41" i="31"/>
  <c r="K42" i="31" s="1"/>
  <c r="L35" i="31"/>
  <c r="U30" i="28"/>
  <c r="U32" i="28" s="1"/>
  <c r="U36" i="28"/>
  <c r="U41" i="28" s="1"/>
  <c r="U43" i="28" s="1"/>
  <c r="V25" i="28"/>
  <c r="X208" i="31"/>
  <c r="Y206" i="31"/>
  <c r="V196" i="31"/>
  <c r="V222" i="31"/>
  <c r="V223" i="31" s="1"/>
  <c r="AD304" i="31"/>
  <c r="AC304" i="31"/>
  <c r="I365" i="31"/>
  <c r="I366" i="31" s="1"/>
  <c r="J359" i="31"/>
  <c r="I371" i="31"/>
  <c r="I372" i="31" s="1"/>
  <c r="I360" i="31"/>
  <c r="AE358" i="31"/>
  <c r="AE384" i="31"/>
  <c r="U289" i="31"/>
  <c r="V287" i="31"/>
  <c r="Z196" i="5"/>
  <c r="Z198" i="5" s="1"/>
  <c r="Z222" i="5"/>
  <c r="Z223" i="5" s="1"/>
  <c r="K284" i="31"/>
  <c r="K285" i="31" s="1"/>
  <c r="L278" i="31"/>
  <c r="K290" i="31"/>
  <c r="K291" i="31" s="1"/>
  <c r="K279" i="31"/>
  <c r="DO41" i="28"/>
  <c r="CV41" i="28"/>
  <c r="AB308" i="5"/>
  <c r="AA310" i="5"/>
  <c r="I14" i="31"/>
  <c r="I15" i="31" s="1"/>
  <c r="I23" i="31" s="1"/>
  <c r="I9" i="31"/>
  <c r="I463" i="31" s="1"/>
  <c r="I465" i="31" s="1"/>
  <c r="I20" i="31"/>
  <c r="I21" i="31" s="1"/>
  <c r="J8" i="31"/>
  <c r="AN355" i="5"/>
  <c r="AM358" i="5"/>
  <c r="V312" i="5"/>
  <c r="W311" i="5"/>
  <c r="AA424" i="31"/>
  <c r="AB424" i="31" s="1"/>
  <c r="AC422" i="31"/>
  <c r="AB422" i="31"/>
  <c r="Y92" i="31"/>
  <c r="X94" i="31"/>
  <c r="L387" i="31"/>
  <c r="L392" i="31"/>
  <c r="L393" i="31" s="1"/>
  <c r="L398" i="31"/>
  <c r="L399" i="31" s="1"/>
  <c r="M386" i="31"/>
  <c r="K344" i="31"/>
  <c r="K345" i="31" s="1"/>
  <c r="L332" i="31"/>
  <c r="K338" i="31"/>
  <c r="K339" i="31" s="1"/>
  <c r="K333" i="31"/>
  <c r="DB29" i="28"/>
  <c r="J419" i="31"/>
  <c r="J420" i="31" s="1"/>
  <c r="K413" i="31"/>
  <c r="J425" i="31"/>
  <c r="J426" i="31" s="1"/>
  <c r="J414" i="31"/>
  <c r="N250" i="31"/>
  <c r="N276" i="31"/>
  <c r="O249" i="31"/>
  <c r="AH409" i="31"/>
  <c r="AI409" i="31" s="1"/>
  <c r="J50" i="31"/>
  <c r="J54" i="31" s="1"/>
  <c r="J437" i="31" s="1"/>
  <c r="Q303" i="5"/>
  <c r="Q277" i="5"/>
  <c r="Q279" i="5" s="1"/>
  <c r="Q293" i="5" s="1"/>
  <c r="Q297" i="5" s="1"/>
  <c r="Q446" i="5" s="1"/>
  <c r="X308" i="31"/>
  <c r="W310" i="31"/>
  <c r="W260" i="31"/>
  <c r="V262" i="31"/>
  <c r="X168" i="31"/>
  <c r="W195" i="31"/>
  <c r="W169" i="31"/>
  <c r="X35" i="28"/>
  <c r="X40" i="28" s="1"/>
  <c r="X29" i="28"/>
  <c r="Y24" i="28"/>
  <c r="X31" i="28"/>
  <c r="Y26" i="28"/>
  <c r="X37" i="28"/>
  <c r="X42" i="28" s="1"/>
  <c r="Z202" i="31"/>
  <c r="AA200" i="31"/>
  <c r="AA391" i="5"/>
  <c r="AB389" i="5"/>
  <c r="AA148" i="5"/>
  <c r="AB146" i="5"/>
  <c r="V316" i="31"/>
  <c r="W314" i="31"/>
  <c r="L89" i="31"/>
  <c r="K101" i="31"/>
  <c r="K102" i="31" s="1"/>
  <c r="K90" i="31"/>
  <c r="K95" i="31"/>
  <c r="K96" i="31" s="1"/>
  <c r="T25" i="5"/>
  <c r="S214" i="5"/>
  <c r="S376" i="5"/>
  <c r="S79" i="5"/>
  <c r="S403" i="5"/>
  <c r="S52" i="5"/>
  <c r="S349" i="5"/>
  <c r="S268" i="5"/>
  <c r="S160" i="5"/>
  <c r="S106" i="5"/>
  <c r="S108" i="5" s="1"/>
  <c r="S187" i="5"/>
  <c r="S241" i="5"/>
  <c r="S322" i="5"/>
  <c r="S133" i="5"/>
  <c r="S135" i="5" s="1"/>
  <c r="S440" i="5" s="1"/>
  <c r="S430" i="5"/>
  <c r="S295" i="5"/>
  <c r="H440" i="31"/>
  <c r="DD24" i="7"/>
  <c r="DW24" i="7" s="1"/>
  <c r="DX24" i="7" s="1"/>
  <c r="DA26" i="7"/>
  <c r="DT26" i="7" s="1"/>
  <c r="N440" i="5"/>
  <c r="AB181" i="5"/>
  <c r="AC179" i="5"/>
  <c r="C432" i="31"/>
  <c r="H6" i="7"/>
  <c r="C449" i="31"/>
  <c r="N249" i="5"/>
  <c r="N223" i="5"/>
  <c r="T320" i="31"/>
  <c r="Y338" i="5"/>
  <c r="Y339" i="5" s="1"/>
  <c r="Y344" i="5"/>
  <c r="Y345" i="5" s="1"/>
  <c r="Y333" i="5"/>
  <c r="Z332" i="5"/>
  <c r="AC100" i="1"/>
  <c r="AB107" i="1"/>
  <c r="AB28" i="7" s="1"/>
  <c r="F374" i="5"/>
  <c r="G360" i="5"/>
  <c r="AB391" i="31"/>
  <c r="E448" i="31"/>
  <c r="AC127" i="5"/>
  <c r="AD125" i="5"/>
  <c r="AB173" i="5"/>
  <c r="AA175" i="5"/>
  <c r="S171" i="5"/>
  <c r="T169" i="5"/>
  <c r="DM31" i="28"/>
  <c r="DM32" i="28" s="1"/>
  <c r="CT32" i="28"/>
  <c r="W276" i="31"/>
  <c r="V277" i="31"/>
  <c r="W357" i="31"/>
  <c r="V358" i="31"/>
  <c r="X384" i="31"/>
  <c r="W385" i="31"/>
  <c r="M452" i="5"/>
  <c r="M3" i="7" s="1"/>
  <c r="P239" i="5"/>
  <c r="P243" i="5" s="1"/>
  <c r="P444" i="5" s="1"/>
  <c r="V317" i="31"/>
  <c r="U318" i="31"/>
  <c r="AE455" i="31"/>
  <c r="C405" i="31"/>
  <c r="AG74" i="31"/>
  <c r="AF75" i="31"/>
  <c r="Z425" i="5"/>
  <c r="Z426" i="5" s="1"/>
  <c r="AA413" i="5"/>
  <c r="Z419" i="5"/>
  <c r="Z420" i="5" s="1"/>
  <c r="Z414" i="5"/>
  <c r="Y398" i="5"/>
  <c r="Y399" i="5" s="1"/>
  <c r="Y392" i="5"/>
  <c r="Y393" i="5" s="1"/>
  <c r="Y387" i="5"/>
  <c r="Z386" i="5"/>
  <c r="AL4" i="5"/>
  <c r="AK7" i="5"/>
  <c r="K10" i="7"/>
  <c r="K12" i="7" s="1"/>
  <c r="DO12" i="7" s="1"/>
  <c r="DO6" i="7"/>
  <c r="DO10" i="7" s="1"/>
  <c r="J10" i="7"/>
  <c r="J12" i="7" s="1"/>
  <c r="DN12" i="7" s="1"/>
  <c r="DN6" i="7"/>
  <c r="DN10" i="7" s="1"/>
  <c r="W411" i="31"/>
  <c r="V412" i="31"/>
  <c r="DK43" i="28"/>
  <c r="F351" i="5"/>
  <c r="G347" i="5"/>
  <c r="AD389" i="31"/>
  <c r="AC391" i="31"/>
  <c r="AC422" i="5"/>
  <c r="AB424" i="5"/>
  <c r="Y128" i="5"/>
  <c r="Y129" i="5" s="1"/>
  <c r="Y122" i="5"/>
  <c r="Z116" i="5"/>
  <c r="Y117" i="5"/>
  <c r="I31" i="28"/>
  <c r="DO26" i="28"/>
  <c r="I37" i="28"/>
  <c r="J26" i="28"/>
  <c r="G43" i="28"/>
  <c r="CT42" i="28"/>
  <c r="CT43" i="28" s="1"/>
  <c r="H133" i="1"/>
  <c r="H125" i="1"/>
  <c r="H114" i="1"/>
  <c r="H77" i="1"/>
  <c r="H174" i="1"/>
  <c r="H182" i="1" s="1"/>
  <c r="H47" i="1"/>
  <c r="H41" i="1"/>
  <c r="H37" i="7"/>
  <c r="DL37" i="7" s="1"/>
  <c r="DX37" i="7" s="1"/>
  <c r="DL3" i="7"/>
  <c r="H40" i="7"/>
  <c r="H13" i="7"/>
  <c r="DL13" i="7" s="1"/>
  <c r="DX13" i="7" s="1"/>
  <c r="H50" i="7"/>
  <c r="H130" i="1"/>
  <c r="H122" i="1"/>
  <c r="H111" i="1"/>
  <c r="H50" i="1"/>
  <c r="H94" i="1"/>
  <c r="H44" i="1"/>
  <c r="H38" i="1"/>
  <c r="L37" i="7"/>
  <c r="DP37" i="7" s="1"/>
  <c r="L40" i="7"/>
  <c r="DP3" i="7"/>
  <c r="DP50" i="7" s="1"/>
  <c r="L122" i="1"/>
  <c r="L94" i="1"/>
  <c r="L44" i="1"/>
  <c r="L174" i="1"/>
  <c r="L182" i="1" s="1"/>
  <c r="L125" i="1"/>
  <c r="L50" i="1"/>
  <c r="L41" i="1"/>
  <c r="L13" i="7"/>
  <c r="DP13" i="7" s="1"/>
  <c r="L50" i="7"/>
  <c r="L130" i="1"/>
  <c r="L111" i="1"/>
  <c r="L77" i="1"/>
  <c r="L38" i="1"/>
  <c r="L133" i="1"/>
  <c r="L114" i="1"/>
  <c r="L47" i="1"/>
  <c r="AI119" i="31"/>
  <c r="AH121" i="31"/>
  <c r="C456" i="31"/>
  <c r="C457" i="31" s="1"/>
  <c r="U77" i="31"/>
  <c r="N212" i="5"/>
  <c r="L10" i="7"/>
  <c r="L12" i="7" s="1"/>
  <c r="DP12" i="7" s="1"/>
  <c r="DP6" i="7"/>
  <c r="DP10" i="7" s="1"/>
  <c r="R224" i="5"/>
  <c r="Q230" i="5"/>
  <c r="Q231" i="5" s="1"/>
  <c r="Q236" i="5"/>
  <c r="Q237" i="5" s="1"/>
  <c r="Q225" i="5"/>
  <c r="F447" i="5"/>
  <c r="G324" i="5"/>
  <c r="G447" i="5" s="1"/>
  <c r="AF235" i="31"/>
  <c r="AG233" i="31"/>
  <c r="W311" i="31"/>
  <c r="V312" i="31"/>
  <c r="AE364" i="5"/>
  <c r="AF362" i="5"/>
  <c r="V305" i="31"/>
  <c r="U306" i="31"/>
  <c r="U320" i="31" s="1"/>
  <c r="AL328" i="5"/>
  <c r="AK331" i="5"/>
  <c r="AH281" i="5"/>
  <c r="AF283" i="5"/>
  <c r="AG283" i="5" s="1"/>
  <c r="AG281" i="5"/>
  <c r="F387" i="5"/>
  <c r="G385" i="5"/>
  <c r="G411" i="5"/>
  <c r="F412" i="5"/>
  <c r="S196" i="5"/>
  <c r="S222" i="5"/>
  <c r="T195" i="5"/>
  <c r="AB7" i="5"/>
  <c r="AC6" i="5"/>
  <c r="AD154" i="5"/>
  <c r="AE152" i="5"/>
  <c r="Y428" i="5"/>
  <c r="AM85" i="5"/>
  <c r="AL88" i="5"/>
  <c r="S158" i="5"/>
  <c r="T144" i="5"/>
  <c r="DN37" i="28"/>
  <c r="H42" i="28"/>
  <c r="CU31" i="28"/>
  <c r="H32" i="28"/>
  <c r="V63" i="31"/>
  <c r="W62" i="31"/>
  <c r="AF69" i="31"/>
  <c r="AG68" i="31"/>
  <c r="AC397" i="5"/>
  <c r="AD395" i="5"/>
  <c r="AB206" i="5"/>
  <c r="AA208" i="5"/>
  <c r="I10" i="7"/>
  <c r="I12" i="7" s="1"/>
  <c r="DM12" i="7" s="1"/>
  <c r="DM6" i="7"/>
  <c r="DM10" i="7" s="1"/>
  <c r="Z176" i="5"/>
  <c r="Z177" i="5" s="1"/>
  <c r="AA170" i="5"/>
  <c r="Z171" i="5"/>
  <c r="AA289" i="5"/>
  <c r="AA291" i="5" s="1"/>
  <c r="AA293" i="5" s="1"/>
  <c r="AB287" i="5"/>
  <c r="W330" i="31"/>
  <c r="V331" i="31"/>
  <c r="Y44" i="5"/>
  <c r="Y46" i="5" s="1"/>
  <c r="Z17" i="5"/>
  <c r="Y19" i="5"/>
  <c r="DE24" i="7"/>
  <c r="R65" i="1"/>
  <c r="S63" i="1"/>
  <c r="R70" i="1"/>
  <c r="Q89" i="1"/>
  <c r="P93" i="1"/>
  <c r="P27" i="7" s="1"/>
  <c r="DA27" i="7" s="1"/>
  <c r="DT27" i="7" s="1"/>
  <c r="P28" i="1"/>
  <c r="P32" i="1" s="1"/>
  <c r="P20" i="7" s="1"/>
  <c r="DA20" i="7" s="1"/>
  <c r="DT20" i="7" s="1"/>
  <c r="P16" i="7"/>
  <c r="CZ16" i="7"/>
  <c r="J46" i="7"/>
  <c r="J11" i="11"/>
  <c r="J12" i="11" s="1"/>
  <c r="M23" i="16"/>
  <c r="L142" i="1"/>
  <c r="L144" i="1" s="1"/>
  <c r="L139" i="1"/>
  <c r="L141" i="1" s="1"/>
  <c r="M20" i="16"/>
  <c r="K144" i="1"/>
  <c r="K146" i="1" s="1"/>
  <c r="AM31" i="5"/>
  <c r="AL34" i="5"/>
  <c r="AN166" i="5"/>
  <c r="AM169" i="5"/>
  <c r="AN409" i="5"/>
  <c r="AM412" i="5"/>
  <c r="S317" i="5"/>
  <c r="R318" i="5"/>
  <c r="R77" i="5"/>
  <c r="S117" i="1"/>
  <c r="S119" i="1" s="1"/>
  <c r="R168" i="1"/>
  <c r="P189" i="1"/>
  <c r="P190" i="1" s="1"/>
  <c r="P14" i="11" s="1"/>
  <c r="P37" i="1"/>
  <c r="P21" i="7" s="1"/>
  <c r="AC91" i="1"/>
  <c r="AE188" i="1"/>
  <c r="Q35" i="1"/>
  <c r="Q10" i="1"/>
  <c r="R8" i="1"/>
  <c r="AD140" i="1"/>
  <c r="AD143" i="1"/>
  <c r="AJ20" i="1"/>
  <c r="AJ18" i="7" s="1"/>
  <c r="AK18" i="1"/>
  <c r="AF15" i="1"/>
  <c r="AG13" i="1"/>
  <c r="AH13" i="1" s="1"/>
  <c r="DC23" i="7"/>
  <c r="DV23" i="7" s="1"/>
  <c r="DI24" i="7"/>
  <c r="EB24" i="7" s="1"/>
  <c r="AC67" i="5"/>
  <c r="AD65" i="5"/>
  <c r="P441" i="5"/>
  <c r="Y374" i="5"/>
  <c r="AE314" i="5"/>
  <c r="AD316" i="5"/>
  <c r="AA89" i="5"/>
  <c r="Z101" i="5"/>
  <c r="Z102" i="5" s="1"/>
  <c r="Z95" i="5"/>
  <c r="Z96" i="5" s="1"/>
  <c r="Z90" i="5"/>
  <c r="U62" i="5"/>
  <c r="S74" i="5"/>
  <c r="S75" i="5" s="1"/>
  <c r="T75" i="5" s="1"/>
  <c r="T62" i="5"/>
  <c r="S68" i="5"/>
  <c r="S69" i="5" s="1"/>
  <c r="T69" i="5" s="1"/>
  <c r="S63" i="5"/>
  <c r="T63" i="5" s="1"/>
  <c r="AC233" i="5"/>
  <c r="AB235" i="5"/>
  <c r="AA262" i="5"/>
  <c r="AB260" i="5"/>
  <c r="O436" i="5"/>
  <c r="AC337" i="5"/>
  <c r="AD335" i="5"/>
  <c r="W185" i="5"/>
  <c r="S36" i="5"/>
  <c r="T36" i="5" s="1"/>
  <c r="T35" i="5"/>
  <c r="U35" i="5"/>
  <c r="S41" i="5"/>
  <c r="S47" i="5"/>
  <c r="S48" i="5" s="1"/>
  <c r="T48" i="5" s="1"/>
  <c r="S38" i="5"/>
  <c r="S40" i="5" s="1"/>
  <c r="T40" i="5" s="1"/>
  <c r="T11" i="5"/>
  <c r="S13" i="5"/>
  <c r="S15" i="5" s="1"/>
  <c r="U11" i="5"/>
  <c r="AA209" i="5"/>
  <c r="AA210" i="5" s="1"/>
  <c r="AA203" i="5"/>
  <c r="AB197" i="5"/>
  <c r="AC278" i="5"/>
  <c r="AB284" i="5"/>
  <c r="AB285" i="5" s="1"/>
  <c r="AB290" i="5"/>
  <c r="X123" i="5"/>
  <c r="AE455" i="5"/>
  <c r="O277" i="5"/>
  <c r="O303" i="5"/>
  <c r="AC304" i="5"/>
  <c r="AD303" i="5"/>
  <c r="O216" i="5"/>
  <c r="Z365" i="5"/>
  <c r="Z366" i="5" s="1"/>
  <c r="AA359" i="5"/>
  <c r="Z371" i="5"/>
  <c r="Z372" i="5" s="1"/>
  <c r="Z360" i="5"/>
  <c r="Y104" i="5"/>
  <c r="Z202" i="5"/>
  <c r="Z204" i="5" s="1"/>
  <c r="Z212" i="5" s="1"/>
  <c r="AA200" i="5"/>
  <c r="R81" i="5"/>
  <c r="O239" i="5"/>
  <c r="AN247" i="5"/>
  <c r="AM250" i="5"/>
  <c r="AC276" i="5"/>
  <c r="AB277" i="5"/>
  <c r="AM61" i="5"/>
  <c r="AN58" i="5"/>
  <c r="P276" i="5"/>
  <c r="P250" i="5"/>
  <c r="P252" i="5" s="1"/>
  <c r="AA227" i="5"/>
  <c r="Z229" i="5"/>
  <c r="X183" i="5"/>
  <c r="X185" i="5" s="1"/>
  <c r="Y182" i="5"/>
  <c r="AC254" i="5"/>
  <c r="AB256" i="5"/>
  <c r="AC92" i="5"/>
  <c r="AB94" i="5"/>
  <c r="R15" i="5"/>
  <c r="T13" i="5"/>
  <c r="R42" i="5"/>
  <c r="R50" i="5" s="1"/>
  <c r="P189" i="5"/>
  <c r="AB100" i="5"/>
  <c r="AC98" i="5"/>
  <c r="X212" i="5"/>
  <c r="Z119" i="5"/>
  <c r="Y121" i="5"/>
  <c r="Z305" i="5"/>
  <c r="Y306" i="5"/>
  <c r="O252" i="5"/>
  <c r="AC250" i="5"/>
  <c r="AD249" i="5"/>
  <c r="P437" i="5"/>
  <c r="DW28" i="7"/>
  <c r="DH19" i="7"/>
  <c r="EA19" i="7" s="1"/>
  <c r="F18" i="3"/>
  <c r="E19" i="3"/>
  <c r="T133" i="5" l="1"/>
  <c r="T403" i="5"/>
  <c r="T52" i="5"/>
  <c r="U25" i="5"/>
  <c r="T106" i="5"/>
  <c r="T349" i="5"/>
  <c r="T376" i="5"/>
  <c r="T160" i="5"/>
  <c r="T214" i="5"/>
  <c r="T79" i="5"/>
  <c r="T322" i="5"/>
  <c r="T241" i="5"/>
  <c r="T268" i="5"/>
  <c r="T430" i="5"/>
  <c r="T295" i="5"/>
  <c r="T187" i="5"/>
  <c r="L101" i="31"/>
  <c r="L102" i="31" s="1"/>
  <c r="M89" i="31"/>
  <c r="L95" i="31"/>
  <c r="L96" i="31" s="1"/>
  <c r="L90" i="31"/>
  <c r="Z24" i="28"/>
  <c r="Y35" i="28"/>
  <c r="Y40" i="28" s="1"/>
  <c r="Y29" i="28"/>
  <c r="W222" i="31"/>
  <c r="W223" i="31" s="1"/>
  <c r="W196" i="31"/>
  <c r="I27" i="31"/>
  <c r="I436" i="31" s="1"/>
  <c r="AE411" i="31"/>
  <c r="AE385" i="31"/>
  <c r="L47" i="31"/>
  <c r="L48" i="31" s="1"/>
  <c r="M35" i="31"/>
  <c r="L36" i="31"/>
  <c r="L41" i="31"/>
  <c r="L42" i="31" s="1"/>
  <c r="AC412" i="5"/>
  <c r="AD411" i="5"/>
  <c r="AF384" i="31"/>
  <c r="AF411" i="31" s="1"/>
  <c r="L128" i="31"/>
  <c r="L129" i="31" s="1"/>
  <c r="M116" i="31"/>
  <c r="L117" i="31"/>
  <c r="L122" i="31"/>
  <c r="L123" i="31" s="1"/>
  <c r="X362" i="31"/>
  <c r="W364" i="31"/>
  <c r="CW41" i="28"/>
  <c r="DP41" i="28" s="1"/>
  <c r="AA125" i="31"/>
  <c r="Z127" i="31"/>
  <c r="W395" i="31"/>
  <c r="V397" i="31"/>
  <c r="N158" i="31"/>
  <c r="AA222" i="5"/>
  <c r="AA223" i="5" s="1"/>
  <c r="AA196" i="5"/>
  <c r="AA198" i="5" s="1"/>
  <c r="K225" i="31"/>
  <c r="K236" i="31"/>
  <c r="K237" i="31" s="1"/>
  <c r="L224" i="31"/>
  <c r="K230" i="31"/>
  <c r="K231" i="31" s="1"/>
  <c r="W71" i="31"/>
  <c r="W73" i="31" s="1"/>
  <c r="W75" i="31" s="1"/>
  <c r="W19" i="31"/>
  <c r="X17" i="31"/>
  <c r="S23" i="5"/>
  <c r="Y123" i="5"/>
  <c r="Y131" i="5" s="1"/>
  <c r="Y401" i="5"/>
  <c r="T135" i="5"/>
  <c r="K104" i="31"/>
  <c r="K108" i="31" s="1"/>
  <c r="K439" i="31" s="1"/>
  <c r="Z26" i="28"/>
  <c r="Y37" i="28"/>
  <c r="Y42" i="28" s="1"/>
  <c r="Y31" i="28"/>
  <c r="L401" i="31"/>
  <c r="Z92" i="31"/>
  <c r="Y94" i="31"/>
  <c r="AC308" i="5"/>
  <c r="AB310" i="5"/>
  <c r="K50" i="31"/>
  <c r="Y370" i="31"/>
  <c r="Z368" i="31"/>
  <c r="X146" i="31"/>
  <c r="W148" i="31"/>
  <c r="CX30" i="28"/>
  <c r="K131" i="31"/>
  <c r="K135" i="31" s="1"/>
  <c r="K440" i="31" s="1"/>
  <c r="L170" i="31"/>
  <c r="K176" i="31"/>
  <c r="K177" i="31" s="1"/>
  <c r="K171" i="31"/>
  <c r="K185" i="31" s="1"/>
  <c r="K189" i="31" s="1"/>
  <c r="K442" i="31" s="1"/>
  <c r="AJ301" i="31"/>
  <c r="AJ304" i="31" s="1"/>
  <c r="AI304" i="31"/>
  <c r="X152" i="31"/>
  <c r="W154" i="31"/>
  <c r="G23" i="31"/>
  <c r="AB341" i="5"/>
  <c r="AA343" i="5"/>
  <c r="K257" i="31"/>
  <c r="K258" i="31" s="1"/>
  <c r="K263" i="31"/>
  <c r="K264" i="31" s="1"/>
  <c r="K252" i="31"/>
  <c r="L251" i="31"/>
  <c r="AB254" i="31"/>
  <c r="AC254" i="31"/>
  <c r="AA256" i="31"/>
  <c r="AB256" i="31" s="1"/>
  <c r="AG330" i="31"/>
  <c r="AG223" i="31"/>
  <c r="AF223" i="31"/>
  <c r="O149" i="31"/>
  <c r="O155" i="31"/>
  <c r="AB169" i="5"/>
  <c r="AB195" i="5"/>
  <c r="AC168" i="5"/>
  <c r="K405" i="31"/>
  <c r="K450" i="31" s="1"/>
  <c r="H443" i="31"/>
  <c r="Y179" i="31"/>
  <c r="X181" i="31"/>
  <c r="R72" i="1"/>
  <c r="R76" i="1" s="1"/>
  <c r="R26" i="7" s="1"/>
  <c r="S439" i="5"/>
  <c r="T439" i="5" s="1"/>
  <c r="T108" i="5"/>
  <c r="AB148" i="5"/>
  <c r="AC146" i="5"/>
  <c r="AA202" i="31"/>
  <c r="AB202" i="31" s="1"/>
  <c r="AC200" i="31"/>
  <c r="AB200" i="31"/>
  <c r="X260" i="31"/>
  <c r="W262" i="31"/>
  <c r="Y308" i="31"/>
  <c r="X310" i="31"/>
  <c r="O276" i="31"/>
  <c r="N277" i="31"/>
  <c r="N303" i="31"/>
  <c r="K419" i="31"/>
  <c r="K420" i="31" s="1"/>
  <c r="L413" i="31"/>
  <c r="K425" i="31"/>
  <c r="K426" i="31" s="1"/>
  <c r="K414" i="31"/>
  <c r="K347" i="31"/>
  <c r="M392" i="31"/>
  <c r="M393" i="31" s="1"/>
  <c r="N386" i="31"/>
  <c r="M398" i="31"/>
  <c r="M399" i="31" s="1"/>
  <c r="M387" i="31"/>
  <c r="M401" i="31" s="1"/>
  <c r="L290" i="31"/>
  <c r="L291" i="31" s="1"/>
  <c r="M278" i="31"/>
  <c r="L284" i="31"/>
  <c r="L285" i="31" s="1"/>
  <c r="L279" i="31"/>
  <c r="L293" i="31" s="1"/>
  <c r="L297" i="31" s="1"/>
  <c r="L446" i="31" s="1"/>
  <c r="V289" i="31"/>
  <c r="W287" i="31"/>
  <c r="AF358" i="31"/>
  <c r="I374" i="31"/>
  <c r="I378" i="31" s="1"/>
  <c r="I449" i="31" s="1"/>
  <c r="Y208" i="31"/>
  <c r="Z206" i="31"/>
  <c r="U263" i="5"/>
  <c r="U264" i="5" s="1"/>
  <c r="U252" i="5"/>
  <c r="U257" i="5"/>
  <c r="U258" i="5" s="1"/>
  <c r="V251" i="5"/>
  <c r="J108" i="31"/>
  <c r="X416" i="31"/>
  <c r="W418" i="31"/>
  <c r="X281" i="31"/>
  <c r="W283" i="31"/>
  <c r="H378" i="31"/>
  <c r="AA335" i="31"/>
  <c r="Z337" i="31"/>
  <c r="AG34" i="31"/>
  <c r="AH31" i="31"/>
  <c r="W343" i="31"/>
  <c r="X341" i="31"/>
  <c r="V8" i="5"/>
  <c r="U20" i="5"/>
  <c r="U21" i="5" s="1"/>
  <c r="U14" i="5"/>
  <c r="U9" i="5"/>
  <c r="K297" i="31"/>
  <c r="J266" i="31"/>
  <c r="J270" i="31" s="1"/>
  <c r="J445" i="31" s="1"/>
  <c r="AJ274" i="31"/>
  <c r="AJ277" i="31" s="1"/>
  <c r="AI277" i="31"/>
  <c r="R303" i="5"/>
  <c r="R277" i="5"/>
  <c r="R279" i="5" s="1"/>
  <c r="R293" i="5" s="1"/>
  <c r="R297" i="5" s="1"/>
  <c r="R446" i="5" s="1"/>
  <c r="H442" i="31"/>
  <c r="J239" i="31"/>
  <c r="AD368" i="5"/>
  <c r="AC370" i="5"/>
  <c r="V75" i="31"/>
  <c r="Z144" i="5"/>
  <c r="AA143" i="5"/>
  <c r="Z149" i="5"/>
  <c r="Z150" i="5" s="1"/>
  <c r="Z158" i="5" s="1"/>
  <c r="Z155" i="5"/>
  <c r="Z156" i="5" s="1"/>
  <c r="H15" i="31"/>
  <c r="H23" i="31" s="1"/>
  <c r="O250" i="31"/>
  <c r="AO355" i="5"/>
  <c r="AO358" i="5" s="1"/>
  <c r="AN358" i="5"/>
  <c r="V182" i="31"/>
  <c r="U183" i="31"/>
  <c r="K41" i="28"/>
  <c r="CX41" i="28" s="1"/>
  <c r="DQ41" i="28" s="1"/>
  <c r="DQ36" i="28"/>
  <c r="V65" i="31"/>
  <c r="V67" i="31" s="1"/>
  <c r="V69" i="31" s="1"/>
  <c r="V13" i="31"/>
  <c r="W11" i="31"/>
  <c r="DA40" i="28"/>
  <c r="DB40" i="28" s="1"/>
  <c r="O40" i="28"/>
  <c r="AA418" i="5"/>
  <c r="AB416" i="5"/>
  <c r="K441" i="31"/>
  <c r="J203" i="31"/>
  <c r="J204" i="31" s="1"/>
  <c r="K197" i="31"/>
  <c r="J209" i="31"/>
  <c r="J210" i="31" s="1"/>
  <c r="J198" i="31"/>
  <c r="X314" i="31"/>
  <c r="W316" i="31"/>
  <c r="AC389" i="5"/>
  <c r="AB391" i="5"/>
  <c r="Y168" i="31"/>
  <c r="X195" i="31"/>
  <c r="X169" i="31"/>
  <c r="Q330" i="5"/>
  <c r="Q304" i="5"/>
  <c r="Q306" i="5" s="1"/>
  <c r="Q320" i="5" s="1"/>
  <c r="Q324" i="5" s="1"/>
  <c r="Q447" i="5" s="1"/>
  <c r="AJ409" i="31"/>
  <c r="AJ412" i="31" s="1"/>
  <c r="AI412" i="31"/>
  <c r="J428" i="31"/>
  <c r="L338" i="31"/>
  <c r="L339" i="31" s="1"/>
  <c r="L344" i="31"/>
  <c r="L345" i="31" s="1"/>
  <c r="M332" i="31"/>
  <c r="L333" i="31"/>
  <c r="AC424" i="31"/>
  <c r="AD422" i="31"/>
  <c r="W312" i="5"/>
  <c r="X311" i="5"/>
  <c r="K8" i="31"/>
  <c r="J14" i="31"/>
  <c r="J15" i="31" s="1"/>
  <c r="J9" i="31"/>
  <c r="J20" i="31"/>
  <c r="J21" i="31" s="1"/>
  <c r="K293" i="31"/>
  <c r="J371" i="31"/>
  <c r="J372" i="31" s="1"/>
  <c r="J365" i="31"/>
  <c r="J366" i="31" s="1"/>
  <c r="J360" i="31"/>
  <c r="J374" i="31" s="1"/>
  <c r="J378" i="31" s="1"/>
  <c r="J449" i="31" s="1"/>
  <c r="K359" i="31"/>
  <c r="V36" i="28"/>
  <c r="V41" i="28" s="1"/>
  <c r="W25" i="28"/>
  <c r="V30" i="28"/>
  <c r="W227" i="31"/>
  <c r="V229" i="31"/>
  <c r="T263" i="5"/>
  <c r="T257" i="5"/>
  <c r="V69" i="1"/>
  <c r="Z173" i="31"/>
  <c r="Y175" i="31"/>
  <c r="I437" i="31"/>
  <c r="L36" i="28"/>
  <c r="L30" i="28"/>
  <c r="CY30" i="28" s="1"/>
  <c r="DR30" i="28" s="1"/>
  <c r="DR25" i="28"/>
  <c r="M25" i="28"/>
  <c r="AI115" i="31"/>
  <c r="AJ112" i="31"/>
  <c r="AJ115" i="31" s="1"/>
  <c r="D452" i="31"/>
  <c r="Y40" i="31"/>
  <c r="Z38" i="31"/>
  <c r="T20" i="5"/>
  <c r="T14" i="5"/>
  <c r="L430" i="31"/>
  <c r="L322" i="31"/>
  <c r="L324" i="31" s="1"/>
  <c r="L241" i="31"/>
  <c r="L187" i="31"/>
  <c r="M25" i="31"/>
  <c r="L376" i="31"/>
  <c r="L295" i="31"/>
  <c r="L160" i="31"/>
  <c r="L162" i="31" s="1"/>
  <c r="L441" i="31" s="1"/>
  <c r="L79" i="31"/>
  <c r="L81" i="31" s="1"/>
  <c r="L438" i="31" s="1"/>
  <c r="L349" i="31"/>
  <c r="L268" i="31"/>
  <c r="L106" i="31"/>
  <c r="L52" i="31"/>
  <c r="L133" i="31"/>
  <c r="L403" i="31"/>
  <c r="L214" i="31"/>
  <c r="J135" i="31"/>
  <c r="I212" i="31"/>
  <c r="AH196" i="31"/>
  <c r="AI193" i="31"/>
  <c r="P155" i="31"/>
  <c r="P156" i="31" s="1"/>
  <c r="Q143" i="31"/>
  <c r="P149" i="31"/>
  <c r="P150" i="31" s="1"/>
  <c r="P144" i="31"/>
  <c r="X98" i="31"/>
  <c r="W100" i="31"/>
  <c r="E438" i="31"/>
  <c r="Y158" i="5"/>
  <c r="O150" i="31"/>
  <c r="DB26" i="7"/>
  <c r="DU26" i="7" s="1"/>
  <c r="X330" i="31"/>
  <c r="W331" i="31"/>
  <c r="AD397" i="5"/>
  <c r="AE395" i="5"/>
  <c r="AH68" i="31"/>
  <c r="AG69" i="31"/>
  <c r="X62" i="31"/>
  <c r="W63" i="31"/>
  <c r="DN31" i="28"/>
  <c r="CU32" i="28"/>
  <c r="S162" i="5"/>
  <c r="T158" i="5"/>
  <c r="AN85" i="5"/>
  <c r="AM88" i="5"/>
  <c r="AC7" i="5"/>
  <c r="AD6" i="5"/>
  <c r="S198" i="5"/>
  <c r="T196" i="5"/>
  <c r="F414" i="5"/>
  <c r="F463" i="5" s="1"/>
  <c r="F465" i="5" s="1"/>
  <c r="G412" i="5"/>
  <c r="AM328" i="5"/>
  <c r="AL331" i="5"/>
  <c r="V306" i="31"/>
  <c r="W305" i="31"/>
  <c r="X311" i="31"/>
  <c r="W312" i="31"/>
  <c r="Q239" i="5"/>
  <c r="Q243" i="5" s="1"/>
  <c r="Q444" i="5" s="1"/>
  <c r="DM42" i="28"/>
  <c r="DO37" i="28"/>
  <c r="I42" i="28"/>
  <c r="CV31" i="28"/>
  <c r="I32" i="28"/>
  <c r="Z128" i="5"/>
  <c r="Z129" i="5" s="1"/>
  <c r="Z117" i="5"/>
  <c r="Z122" i="5"/>
  <c r="AA116" i="5"/>
  <c r="F448" i="5"/>
  <c r="G351" i="5"/>
  <c r="G448" i="5" s="1"/>
  <c r="X411" i="31"/>
  <c r="W412" i="31"/>
  <c r="AM4" i="5"/>
  <c r="AL7" i="5"/>
  <c r="AF455" i="31"/>
  <c r="W317" i="31"/>
  <c r="V318" i="31"/>
  <c r="AE125" i="5"/>
  <c r="AD127" i="5"/>
  <c r="F378" i="5"/>
  <c r="G374" i="5"/>
  <c r="Y347" i="5"/>
  <c r="N250" i="5"/>
  <c r="N276" i="5"/>
  <c r="DL6" i="7"/>
  <c r="H10" i="7"/>
  <c r="H12" i="7" s="1"/>
  <c r="DL12" i="7" s="1"/>
  <c r="DX12" i="7" s="1"/>
  <c r="Z44" i="5"/>
  <c r="Z46" i="5" s="1"/>
  <c r="Z19" i="5"/>
  <c r="AA17" i="5"/>
  <c r="AC287" i="5"/>
  <c r="AB289" i="5"/>
  <c r="AB291" i="5" s="1"/>
  <c r="AA176" i="5"/>
  <c r="AA177" i="5" s="1"/>
  <c r="AB170" i="5"/>
  <c r="AA171" i="5"/>
  <c r="AC206" i="5"/>
  <c r="AB208" i="5"/>
  <c r="CU42" i="28"/>
  <c r="DN42" i="28" s="1"/>
  <c r="DN43" i="28" s="1"/>
  <c r="H43" i="28"/>
  <c r="AF152" i="5"/>
  <c r="AE154" i="5"/>
  <c r="S249" i="5"/>
  <c r="S223" i="5"/>
  <c r="T222" i="5"/>
  <c r="G387" i="5"/>
  <c r="F401" i="5"/>
  <c r="AH283" i="5"/>
  <c r="AI281" i="5"/>
  <c r="AH362" i="5"/>
  <c r="AF364" i="5"/>
  <c r="AG364" i="5" s="1"/>
  <c r="AG362" i="5"/>
  <c r="AG235" i="31"/>
  <c r="AH233" i="31"/>
  <c r="S224" i="5"/>
  <c r="R236" i="5"/>
  <c r="R237" i="5" s="1"/>
  <c r="R230" i="5"/>
  <c r="R231" i="5" s="1"/>
  <c r="R225" i="5"/>
  <c r="N216" i="5"/>
  <c r="N443" i="5" s="1"/>
  <c r="AI121" i="31"/>
  <c r="AJ119" i="31"/>
  <c r="AJ121" i="31" s="1"/>
  <c r="DL50" i="7"/>
  <c r="DX3" i="7"/>
  <c r="DX50" i="7" s="1"/>
  <c r="J31" i="28"/>
  <c r="DP26" i="28"/>
  <c r="J37" i="28"/>
  <c r="K26" i="28"/>
  <c r="AC424" i="5"/>
  <c r="AD422" i="5"/>
  <c r="AE389" i="31"/>
  <c r="AD391" i="31"/>
  <c r="Z398" i="5"/>
  <c r="Z399" i="5" s="1"/>
  <c r="AA386" i="5"/>
  <c r="Z392" i="5"/>
  <c r="Z393" i="5" s="1"/>
  <c r="Z387" i="5"/>
  <c r="Z428" i="5"/>
  <c r="AB413" i="5"/>
  <c r="AA425" i="5"/>
  <c r="AA426" i="5" s="1"/>
  <c r="AA419" i="5"/>
  <c r="AA420" i="5" s="1"/>
  <c r="AA414" i="5"/>
  <c r="AH74" i="31"/>
  <c r="AG75" i="31"/>
  <c r="C450" i="31"/>
  <c r="C452" i="31" s="1"/>
  <c r="M174" i="1"/>
  <c r="M182" i="1" s="1"/>
  <c r="M125" i="1"/>
  <c r="M50" i="1"/>
  <c r="M41" i="1"/>
  <c r="M122" i="1"/>
  <c r="M94" i="1"/>
  <c r="M44" i="1"/>
  <c r="M133" i="1"/>
  <c r="M114" i="1"/>
  <c r="M47" i="1"/>
  <c r="M130" i="1"/>
  <c r="M111" i="1"/>
  <c r="M77" i="1"/>
  <c r="M38" i="1"/>
  <c r="DQ3" i="7"/>
  <c r="DQ50" i="7" s="1"/>
  <c r="M40" i="7"/>
  <c r="M13" i="7"/>
  <c r="DQ13" i="7" s="1"/>
  <c r="M37" i="7"/>
  <c r="DQ37" i="7" s="1"/>
  <c r="M50" i="7"/>
  <c r="M12" i="7"/>
  <c r="DQ12" i="7" s="1"/>
  <c r="Y384" i="31"/>
  <c r="X385" i="31"/>
  <c r="X357" i="31"/>
  <c r="W358" i="31"/>
  <c r="X276" i="31"/>
  <c r="W277" i="31"/>
  <c r="S185" i="5"/>
  <c r="T171" i="5"/>
  <c r="AC173" i="5"/>
  <c r="AB175" i="5"/>
  <c r="AD100" i="1"/>
  <c r="AC107" i="1"/>
  <c r="AC28" i="7" s="1"/>
  <c r="Z344" i="5"/>
  <c r="Z345" i="5" s="1"/>
  <c r="AA332" i="5"/>
  <c r="Z338" i="5"/>
  <c r="Z339" i="5" s="1"/>
  <c r="Z347" i="5" s="1"/>
  <c r="Z333" i="5"/>
  <c r="N225" i="5"/>
  <c r="T223" i="5"/>
  <c r="C451" i="31"/>
  <c r="AD179" i="5"/>
  <c r="AC181" i="5"/>
  <c r="T440" i="5"/>
  <c r="S70" i="1"/>
  <c r="S72" i="1" s="1"/>
  <c r="T72" i="1" s="1"/>
  <c r="T63" i="1"/>
  <c r="S65" i="1"/>
  <c r="R89" i="1"/>
  <c r="Q93" i="1"/>
  <c r="Q27" i="7" s="1"/>
  <c r="AG15" i="1"/>
  <c r="AF17" i="7"/>
  <c r="Q28" i="1"/>
  <c r="Q32" i="1" s="1"/>
  <c r="Q20" i="7" s="1"/>
  <c r="DB20" i="7" s="1"/>
  <c r="Q16" i="7"/>
  <c r="T119" i="1"/>
  <c r="S31" i="7"/>
  <c r="T31" i="7" s="1"/>
  <c r="DS16" i="7"/>
  <c r="DA16" i="7"/>
  <c r="K46" i="7"/>
  <c r="K11" i="11"/>
  <c r="K12" i="11" s="1"/>
  <c r="M139" i="1"/>
  <c r="M141" i="1" s="1"/>
  <c r="N20" i="16"/>
  <c r="L146" i="1"/>
  <c r="N23" i="16"/>
  <c r="M142" i="1"/>
  <c r="M144" i="1" s="1"/>
  <c r="M146" i="1" s="1"/>
  <c r="CU46" i="7"/>
  <c r="DN46" i="7" s="1"/>
  <c r="AN31" i="5"/>
  <c r="AM34" i="5"/>
  <c r="AO409" i="5"/>
  <c r="AO412" i="5" s="1"/>
  <c r="AN412" i="5"/>
  <c r="AO166" i="5"/>
  <c r="AO169" i="5" s="1"/>
  <c r="AN169" i="5"/>
  <c r="S42" i="5"/>
  <c r="S50" i="5" s="1"/>
  <c r="S54" i="5" s="1"/>
  <c r="S437" i="5" s="1"/>
  <c r="S318" i="5"/>
  <c r="T317" i="5"/>
  <c r="U317" i="5"/>
  <c r="S168" i="1"/>
  <c r="U117" i="1"/>
  <c r="U119" i="1" s="1"/>
  <c r="U31" i="7" s="1"/>
  <c r="T117" i="1"/>
  <c r="AF188" i="1"/>
  <c r="AH15" i="1"/>
  <c r="AH17" i="7" s="1"/>
  <c r="AI13" i="1"/>
  <c r="AK20" i="1"/>
  <c r="AK18" i="7" s="1"/>
  <c r="AL18" i="1"/>
  <c r="AE143" i="1"/>
  <c r="AE140" i="1"/>
  <c r="R35" i="1"/>
  <c r="S8" i="1"/>
  <c r="R10" i="1"/>
  <c r="Q189" i="1"/>
  <c r="Q190" i="1" s="1"/>
  <c r="Q14" i="11" s="1"/>
  <c r="Q37" i="1"/>
  <c r="Q21" i="7" s="1"/>
  <c r="AD91" i="1"/>
  <c r="T23" i="7"/>
  <c r="B29" i="32" s="1"/>
  <c r="DD23" i="7"/>
  <c r="DW23" i="7" s="1"/>
  <c r="DX23" i="7" s="1"/>
  <c r="R54" i="5"/>
  <c r="AD250" i="5"/>
  <c r="AE249" i="5"/>
  <c r="AA305" i="5"/>
  <c r="Z306" i="5"/>
  <c r="AC100" i="5"/>
  <c r="AD98" i="5"/>
  <c r="P442" i="5"/>
  <c r="R23" i="5"/>
  <c r="T15" i="5"/>
  <c r="AD92" i="5"/>
  <c r="AC94" i="5"/>
  <c r="AD254" i="5"/>
  <c r="AC256" i="5"/>
  <c r="AA229" i="5"/>
  <c r="AB227" i="5"/>
  <c r="P266" i="5"/>
  <c r="AN61" i="5"/>
  <c r="AO58" i="5"/>
  <c r="AO61" i="5" s="1"/>
  <c r="AD276" i="5"/>
  <c r="AC277" i="5"/>
  <c r="AC279" i="5" s="1"/>
  <c r="AO247" i="5"/>
  <c r="AO250" i="5" s="1"/>
  <c r="AN250" i="5"/>
  <c r="AB200" i="5"/>
  <c r="AA202" i="5"/>
  <c r="AA204" i="5" s="1"/>
  <c r="AA212" i="5" s="1"/>
  <c r="Z374" i="5"/>
  <c r="AB359" i="5"/>
  <c r="AA371" i="5"/>
  <c r="AA372" i="5" s="1"/>
  <c r="AA365" i="5"/>
  <c r="AA366" i="5" s="1"/>
  <c r="AA360" i="5"/>
  <c r="AD304" i="5"/>
  <c r="AE303" i="5"/>
  <c r="O330" i="5"/>
  <c r="O304" i="5"/>
  <c r="AF455" i="5"/>
  <c r="AH455" i="5" s="1"/>
  <c r="AC290" i="5"/>
  <c r="AC284" i="5"/>
  <c r="AC285" i="5" s="1"/>
  <c r="AD278" i="5"/>
  <c r="V11" i="5"/>
  <c r="U38" i="5"/>
  <c r="U40" i="5" s="1"/>
  <c r="U13" i="5"/>
  <c r="T38" i="5"/>
  <c r="T168" i="1" s="1"/>
  <c r="U41" i="5"/>
  <c r="V35" i="5"/>
  <c r="U47" i="5"/>
  <c r="U48" i="5" s="1"/>
  <c r="U36" i="5"/>
  <c r="AD233" i="5"/>
  <c r="AC235" i="5"/>
  <c r="S77" i="5"/>
  <c r="T68" i="5"/>
  <c r="T74" i="5"/>
  <c r="U74" i="5"/>
  <c r="U75" i="5" s="1"/>
  <c r="U63" i="5"/>
  <c r="V62" i="5"/>
  <c r="U68" i="5"/>
  <c r="U69" i="5" s="1"/>
  <c r="Z104" i="5"/>
  <c r="AD67" i="5"/>
  <c r="AE65" i="5"/>
  <c r="O266" i="5"/>
  <c r="Z121" i="5"/>
  <c r="Z123" i="5" s="1"/>
  <c r="Z131" i="5" s="1"/>
  <c r="AA119" i="5"/>
  <c r="Z182" i="5"/>
  <c r="Y183" i="5"/>
  <c r="Y185" i="5" s="1"/>
  <c r="P277" i="5"/>
  <c r="P279" i="5" s="1"/>
  <c r="P303" i="5"/>
  <c r="AB279" i="5"/>
  <c r="O243" i="5"/>
  <c r="R438" i="5"/>
  <c r="O443" i="5"/>
  <c r="O279" i="5"/>
  <c r="X131" i="5"/>
  <c r="AB203" i="5"/>
  <c r="AB209" i="5"/>
  <c r="AC197" i="5"/>
  <c r="S27" i="5"/>
  <c r="S436" i="5" s="1"/>
  <c r="T42" i="5"/>
  <c r="T41" i="5"/>
  <c r="T47" i="5"/>
  <c r="AE335" i="5"/>
  <c r="AD337" i="5"/>
  <c r="AC260" i="5"/>
  <c r="AB262" i="5"/>
  <c r="AA101" i="5"/>
  <c r="AA102" i="5" s="1"/>
  <c r="AA95" i="5"/>
  <c r="AA96" i="5" s="1"/>
  <c r="AB89" i="5"/>
  <c r="AA90" i="5"/>
  <c r="AF314" i="5"/>
  <c r="AH314" i="5" s="1"/>
  <c r="AH316" i="5" s="1"/>
  <c r="AE316" i="5"/>
  <c r="DU20" i="7"/>
  <c r="F19" i="3"/>
  <c r="E20" i="3"/>
  <c r="P158" i="31" l="1"/>
  <c r="J440" i="31"/>
  <c r="L447" i="31"/>
  <c r="DR36" i="28"/>
  <c r="L41" i="28"/>
  <c r="X222" i="31"/>
  <c r="X223" i="31" s="1"/>
  <c r="X196" i="31"/>
  <c r="AD389" i="5"/>
  <c r="AC391" i="5"/>
  <c r="X11" i="31"/>
  <c r="W13" i="31"/>
  <c r="W65" i="31"/>
  <c r="W67" i="31" s="1"/>
  <c r="E452" i="31"/>
  <c r="AA144" i="5"/>
  <c r="AA149" i="5"/>
  <c r="AA150" i="5" s="1"/>
  <c r="AA155" i="5"/>
  <c r="AA156" i="5" s="1"/>
  <c r="AB143" i="5"/>
  <c r="K446" i="31"/>
  <c r="H449" i="31"/>
  <c r="M405" i="31"/>
  <c r="M450" i="31" s="1"/>
  <c r="K351" i="31"/>
  <c r="AC148" i="5"/>
  <c r="AD146" i="5"/>
  <c r="AD254" i="31"/>
  <c r="AC256" i="31"/>
  <c r="G27" i="31"/>
  <c r="G456" i="31"/>
  <c r="G457" i="31" s="1"/>
  <c r="X154" i="31"/>
  <c r="Y152" i="31"/>
  <c r="AD308" i="5"/>
  <c r="AC310" i="5"/>
  <c r="L405" i="31"/>
  <c r="L450" i="31" s="1"/>
  <c r="X19" i="31"/>
  <c r="X71" i="31"/>
  <c r="X73" i="31" s="1"/>
  <c r="Y17" i="31"/>
  <c r="AB127" i="31"/>
  <c r="AB210" i="5"/>
  <c r="R143" i="31"/>
  <c r="Q149" i="31"/>
  <c r="Q150" i="31" s="1"/>
  <c r="Q155" i="31"/>
  <c r="Q156" i="31" s="1"/>
  <c r="Q144" i="31"/>
  <c r="Q158" i="31" s="1"/>
  <c r="I216" i="31"/>
  <c r="Z40" i="31"/>
  <c r="AA38" i="31"/>
  <c r="W69" i="1"/>
  <c r="V43" i="28"/>
  <c r="AE422" i="31"/>
  <c r="AD424" i="31"/>
  <c r="M344" i="31"/>
  <c r="M345" i="31" s="1"/>
  <c r="M338" i="31"/>
  <c r="M339" i="31" s="1"/>
  <c r="N332" i="31"/>
  <c r="M333" i="31"/>
  <c r="J432" i="31"/>
  <c r="Q331" i="5"/>
  <c r="Q333" i="5" s="1"/>
  <c r="Q347" i="5" s="1"/>
  <c r="Q351" i="5" s="1"/>
  <c r="Q448" i="5" s="1"/>
  <c r="Q357" i="5"/>
  <c r="X316" i="31"/>
  <c r="Y314" i="31"/>
  <c r="DT40" i="28"/>
  <c r="DU40" i="28" s="1"/>
  <c r="AE368" i="5"/>
  <c r="AD370" i="5"/>
  <c r="AA337" i="31"/>
  <c r="AB337" i="31" s="1"/>
  <c r="AC335" i="31"/>
  <c r="AB335" i="31"/>
  <c r="Y281" i="31"/>
  <c r="X283" i="31"/>
  <c r="W251" i="5"/>
  <c r="V257" i="5"/>
  <c r="V258" i="5" s="1"/>
  <c r="V263" i="5"/>
  <c r="V264" i="5" s="1"/>
  <c r="V252" i="5"/>
  <c r="Z208" i="31"/>
  <c r="AA206" i="31"/>
  <c r="X287" i="31"/>
  <c r="W289" i="31"/>
  <c r="M284" i="31"/>
  <c r="M285" i="31" s="1"/>
  <c r="M293" i="31" s="1"/>
  <c r="M279" i="31"/>
  <c r="M290" i="31"/>
  <c r="M291" i="31" s="1"/>
  <c r="N278" i="31"/>
  <c r="N392" i="31"/>
  <c r="N393" i="31" s="1"/>
  <c r="N398" i="31"/>
  <c r="N399" i="31" s="1"/>
  <c r="O399" i="31" s="1"/>
  <c r="P386" i="31"/>
  <c r="O386" i="31"/>
  <c r="N279" i="31"/>
  <c r="O279" i="31" s="1"/>
  <c r="O277" i="31"/>
  <c r="AD200" i="31"/>
  <c r="AC202" i="31"/>
  <c r="AC195" i="5"/>
  <c r="AC169" i="5"/>
  <c r="AD168" i="5"/>
  <c r="L252" i="31"/>
  <c r="L266" i="31" s="1"/>
  <c r="L270" i="31" s="1"/>
  <c r="L445" i="31" s="1"/>
  <c r="M251" i="31"/>
  <c r="L263" i="31"/>
  <c r="L264" i="31" s="1"/>
  <c r="L257" i="31"/>
  <c r="L258" i="31" s="1"/>
  <c r="M170" i="31"/>
  <c r="L176" i="31"/>
  <c r="L177" i="31" s="1"/>
  <c r="L171" i="31"/>
  <c r="DQ30" i="28"/>
  <c r="AA368" i="31"/>
  <c r="Z370" i="31"/>
  <c r="Z94" i="31"/>
  <c r="AA92" i="31"/>
  <c r="K239" i="31"/>
  <c r="K243" i="31" s="1"/>
  <c r="K444" i="31" s="1"/>
  <c r="M117" i="31"/>
  <c r="M122" i="31"/>
  <c r="M123" i="31" s="1"/>
  <c r="N116" i="31"/>
  <c r="M128" i="31"/>
  <c r="M129" i="31" s="1"/>
  <c r="AD412" i="5"/>
  <c r="AE411" i="5"/>
  <c r="AE412" i="31"/>
  <c r="AF412" i="31"/>
  <c r="AA428" i="5"/>
  <c r="S225" i="5"/>
  <c r="Y98" i="31"/>
  <c r="X100" i="31"/>
  <c r="X227" i="31"/>
  <c r="W229" i="31"/>
  <c r="L359" i="31"/>
  <c r="K365" i="31"/>
  <c r="K366" i="31" s="1"/>
  <c r="K371" i="31"/>
  <c r="K372" i="31" s="1"/>
  <c r="K360" i="31"/>
  <c r="K20" i="31"/>
  <c r="K21" i="31" s="1"/>
  <c r="K14" i="31"/>
  <c r="K15" i="31" s="1"/>
  <c r="K9" i="31"/>
  <c r="L8" i="31"/>
  <c r="K203" i="31"/>
  <c r="K204" i="31" s="1"/>
  <c r="L197" i="31"/>
  <c r="K198" i="31"/>
  <c r="K209" i="31"/>
  <c r="K210" i="31" s="1"/>
  <c r="AB418" i="5"/>
  <c r="AC416" i="5"/>
  <c r="W182" i="31"/>
  <c r="V183" i="31"/>
  <c r="J243" i="31"/>
  <c r="R304" i="5"/>
  <c r="R306" i="5" s="1"/>
  <c r="R320" i="5" s="1"/>
  <c r="R324" i="5" s="1"/>
  <c r="R447" i="5" s="1"/>
  <c r="R330" i="5"/>
  <c r="AH34" i="31"/>
  <c r="AI31" i="31"/>
  <c r="J439" i="31"/>
  <c r="U266" i="5"/>
  <c r="O393" i="31"/>
  <c r="L425" i="31"/>
  <c r="L426" i="31" s="1"/>
  <c r="L419" i="31"/>
  <c r="L420" i="31" s="1"/>
  <c r="M413" i="31"/>
  <c r="L414" i="31"/>
  <c r="Y260" i="31"/>
  <c r="X262" i="31"/>
  <c r="AB222" i="5"/>
  <c r="AB223" i="5" s="1"/>
  <c r="AB196" i="5"/>
  <c r="AB198" i="5" s="1"/>
  <c r="K266" i="31"/>
  <c r="AC341" i="5"/>
  <c r="AB343" i="5"/>
  <c r="X395" i="31"/>
  <c r="W397" i="31"/>
  <c r="Y362" i="31"/>
  <c r="X364" i="31"/>
  <c r="N35" i="31"/>
  <c r="M36" i="31"/>
  <c r="M47" i="31"/>
  <c r="M48" i="31" s="1"/>
  <c r="M41" i="31"/>
  <c r="M42" i="31" s="1"/>
  <c r="AF385" i="31"/>
  <c r="AA24" i="28"/>
  <c r="Z29" i="28"/>
  <c r="Z35" i="28"/>
  <c r="Z40" i="28" s="1"/>
  <c r="M95" i="31"/>
  <c r="M96" i="31" s="1"/>
  <c r="M101" i="31"/>
  <c r="M102" i="31" s="1"/>
  <c r="N89" i="31"/>
  <c r="M90" i="31"/>
  <c r="M104" i="31" s="1"/>
  <c r="AI196" i="31"/>
  <c r="AJ193" i="31"/>
  <c r="AJ196" i="31" s="1"/>
  <c r="V32" i="28"/>
  <c r="Y311" i="5"/>
  <c r="X312" i="5"/>
  <c r="V14" i="5"/>
  <c r="V20" i="5"/>
  <c r="V21" i="5" s="1"/>
  <c r="W8" i="5"/>
  <c r="V9" i="5"/>
  <c r="V77" i="31"/>
  <c r="M224" i="31"/>
  <c r="L236" i="31"/>
  <c r="L237" i="31" s="1"/>
  <c r="L230" i="31"/>
  <c r="L231" i="31" s="1"/>
  <c r="L225" i="31"/>
  <c r="M430" i="31"/>
  <c r="M322" i="31"/>
  <c r="M324" i="31" s="1"/>
  <c r="M447" i="31" s="1"/>
  <c r="M241" i="31"/>
  <c r="N25" i="31"/>
  <c r="M376" i="31"/>
  <c r="M214" i="31"/>
  <c r="M133" i="31"/>
  <c r="M106" i="31"/>
  <c r="M349" i="31"/>
  <c r="M268" i="31"/>
  <c r="M79" i="31"/>
  <c r="M81" i="31" s="1"/>
  <c r="M52" i="31"/>
  <c r="M187" i="31"/>
  <c r="M403" i="31"/>
  <c r="M295" i="31"/>
  <c r="M160" i="31"/>
  <c r="M162" i="31" s="1"/>
  <c r="M30" i="28"/>
  <c r="CZ30" i="28" s="1"/>
  <c r="DS30" i="28" s="1"/>
  <c r="N25" i="28"/>
  <c r="DS25" i="28"/>
  <c r="M36" i="28"/>
  <c r="Z175" i="31"/>
  <c r="AA173" i="31"/>
  <c r="X25" i="28"/>
  <c r="W36" i="28"/>
  <c r="W41" i="28" s="1"/>
  <c r="W43" i="28" s="1"/>
  <c r="W30" i="28"/>
  <c r="W32" i="28" s="1"/>
  <c r="J23" i="31"/>
  <c r="J463" i="31"/>
  <c r="J465" i="31" s="1"/>
  <c r="L347" i="31"/>
  <c r="L351" i="31" s="1"/>
  <c r="L448" i="31" s="1"/>
  <c r="Z168" i="31"/>
  <c r="Y195" i="31"/>
  <c r="Y169" i="31"/>
  <c r="J212" i="31"/>
  <c r="J216" i="31" s="1"/>
  <c r="J443" i="31" s="1"/>
  <c r="H27" i="31"/>
  <c r="H436" i="31" s="1"/>
  <c r="H452" i="31" s="1"/>
  <c r="H456" i="31"/>
  <c r="H457" i="31" s="1"/>
  <c r="X343" i="31"/>
  <c r="Y341" i="31"/>
  <c r="Y416" i="31"/>
  <c r="X418" i="31"/>
  <c r="K428" i="31"/>
  <c r="K432" i="31" s="1"/>
  <c r="K451" i="31" s="1"/>
  <c r="N304" i="31"/>
  <c r="N330" i="31"/>
  <c r="O303" i="31"/>
  <c r="Y310" i="31"/>
  <c r="Z308" i="31"/>
  <c r="Y181" i="31"/>
  <c r="Z179" i="31"/>
  <c r="AH331" i="31"/>
  <c r="AG357" i="31"/>
  <c r="AG331" i="31"/>
  <c r="X148" i="31"/>
  <c r="Y146" i="31"/>
  <c r="K54" i="31"/>
  <c r="Z37" i="28"/>
  <c r="Z42" i="28" s="1"/>
  <c r="Z31" i="28"/>
  <c r="AA26" i="28"/>
  <c r="O158" i="31"/>
  <c r="AA127" i="31"/>
  <c r="AC125" i="31"/>
  <c r="AB125" i="31"/>
  <c r="L131" i="31"/>
  <c r="L50" i="31"/>
  <c r="L54" i="31" s="1"/>
  <c r="L437" i="31" s="1"/>
  <c r="I456" i="31"/>
  <c r="I457" i="31" s="1"/>
  <c r="L104" i="31"/>
  <c r="L108" i="31" s="1"/>
  <c r="L439" i="31" s="1"/>
  <c r="U79" i="5"/>
  <c r="U430" i="5"/>
  <c r="U432" i="5" s="1"/>
  <c r="U451" i="5" s="1"/>
  <c r="U376" i="5"/>
  <c r="U378" i="5" s="1"/>
  <c r="U449" i="5" s="1"/>
  <c r="U268" i="5"/>
  <c r="U270" i="5" s="1"/>
  <c r="U445" i="5" s="1"/>
  <c r="V25" i="5"/>
  <c r="U160" i="5"/>
  <c r="U162" i="5" s="1"/>
  <c r="U441" i="5" s="1"/>
  <c r="U133" i="5"/>
  <c r="U135" i="5" s="1"/>
  <c r="U440" i="5" s="1"/>
  <c r="U295" i="5"/>
  <c r="U297" i="5" s="1"/>
  <c r="U446" i="5" s="1"/>
  <c r="U52" i="5"/>
  <c r="U187" i="5"/>
  <c r="U189" i="5" s="1"/>
  <c r="U442" i="5" s="1"/>
  <c r="U349" i="5"/>
  <c r="U351" i="5" s="1"/>
  <c r="U448" i="5" s="1"/>
  <c r="U322" i="5"/>
  <c r="U106" i="5"/>
  <c r="U108" i="5" s="1"/>
  <c r="U439" i="5" s="1"/>
  <c r="U214" i="5"/>
  <c r="U216" i="5" s="1"/>
  <c r="U443" i="5" s="1"/>
  <c r="U403" i="5"/>
  <c r="U405" i="5" s="1"/>
  <c r="U450" i="5" s="1"/>
  <c r="U241" i="5"/>
  <c r="F8" i="7"/>
  <c r="G8" i="7" s="1"/>
  <c r="G465" i="5"/>
  <c r="AE179" i="5"/>
  <c r="AD181" i="5"/>
  <c r="N239" i="5"/>
  <c r="T225" i="5"/>
  <c r="AA338" i="5"/>
  <c r="AA339" i="5" s="1"/>
  <c r="AA344" i="5"/>
  <c r="AA345" i="5" s="1"/>
  <c r="AA333" i="5"/>
  <c r="AB332" i="5"/>
  <c r="AD173" i="5"/>
  <c r="AC175" i="5"/>
  <c r="S189" i="5"/>
  <c r="T185" i="5"/>
  <c r="Y276" i="31"/>
  <c r="X277" i="31"/>
  <c r="Y357" i="31"/>
  <c r="X358" i="31"/>
  <c r="Z384" i="31"/>
  <c r="Y385" i="31"/>
  <c r="AH75" i="31"/>
  <c r="AI74" i="31"/>
  <c r="AB425" i="5"/>
  <c r="AB426" i="5" s="1"/>
  <c r="AC413" i="5"/>
  <c r="AB419" i="5"/>
  <c r="AB414" i="5"/>
  <c r="Z401" i="5"/>
  <c r="AB386" i="5"/>
  <c r="AA387" i="5"/>
  <c r="AA398" i="5"/>
  <c r="AA399" i="5" s="1"/>
  <c r="AA392" i="5"/>
  <c r="AA393" i="5" s="1"/>
  <c r="AF389" i="31"/>
  <c r="AE391" i="31"/>
  <c r="L26" i="28"/>
  <c r="DQ26" i="28"/>
  <c r="K37" i="28"/>
  <c r="K31" i="28"/>
  <c r="S230" i="5"/>
  <c r="S231" i="5" s="1"/>
  <c r="T231" i="5" s="1"/>
  <c r="U224" i="5"/>
  <c r="T224" i="5"/>
  <c r="S236" i="5"/>
  <c r="S237" i="5" s="1"/>
  <c r="T237" i="5" s="1"/>
  <c r="AH235" i="31"/>
  <c r="AI233" i="31"/>
  <c r="AH364" i="5"/>
  <c r="AI362" i="5"/>
  <c r="AI283" i="5"/>
  <c r="AJ281" i="5"/>
  <c r="F405" i="5"/>
  <c r="G401" i="5"/>
  <c r="S276" i="5"/>
  <c r="S250" i="5"/>
  <c r="S252" i="5" s="1"/>
  <c r="S266" i="5" s="1"/>
  <c r="S270" i="5" s="1"/>
  <c r="S445" i="5" s="1"/>
  <c r="T249" i="5"/>
  <c r="AH152" i="5"/>
  <c r="AF154" i="5"/>
  <c r="AG154" i="5" s="1"/>
  <c r="AG152" i="5"/>
  <c r="CU43" i="28"/>
  <c r="AD287" i="5"/>
  <c r="AC289" i="5"/>
  <c r="AC291" i="5" s="1"/>
  <c r="AC293" i="5" s="1"/>
  <c r="AA44" i="5"/>
  <c r="AA46" i="5" s="1"/>
  <c r="AB17" i="5"/>
  <c r="AA19" i="5"/>
  <c r="DX6" i="7"/>
  <c r="DX10" i="7" s="1"/>
  <c r="DL10" i="7"/>
  <c r="N303" i="5"/>
  <c r="N277" i="5"/>
  <c r="F449" i="5"/>
  <c r="G378" i="5"/>
  <c r="G449" i="5" s="1"/>
  <c r="X317" i="31"/>
  <c r="W318" i="31"/>
  <c r="AM7" i="5"/>
  <c r="AN4" i="5"/>
  <c r="Y411" i="31"/>
  <c r="X412" i="31"/>
  <c r="AA122" i="5"/>
  <c r="AA128" i="5"/>
  <c r="AA129" i="5" s="1"/>
  <c r="AB116" i="5"/>
  <c r="AA117" i="5"/>
  <c r="CV42" i="28"/>
  <c r="CV43" i="28" s="1"/>
  <c r="I43" i="28"/>
  <c r="DM43" i="28"/>
  <c r="V320" i="31"/>
  <c r="AN328" i="5"/>
  <c r="AM331" i="5"/>
  <c r="AD7" i="5"/>
  <c r="AE6" i="5"/>
  <c r="S441" i="5"/>
  <c r="T441" i="5" s="1"/>
  <c r="T162" i="5"/>
  <c r="DN32" i="28"/>
  <c r="X63" i="31"/>
  <c r="Y62" i="31"/>
  <c r="AH69" i="31"/>
  <c r="AI68" i="31"/>
  <c r="Y330" i="31"/>
  <c r="X331" i="31"/>
  <c r="AE100" i="1"/>
  <c r="AD107" i="1"/>
  <c r="AD424" i="5"/>
  <c r="AE422" i="5"/>
  <c r="DP37" i="28"/>
  <c r="J42" i="28"/>
  <c r="CW31" i="28"/>
  <c r="J32" i="28"/>
  <c r="R239" i="5"/>
  <c r="R243" i="5" s="1"/>
  <c r="R444" i="5" s="1"/>
  <c r="AD206" i="5"/>
  <c r="AC208" i="5"/>
  <c r="AB176" i="5"/>
  <c r="AB177" i="5" s="1"/>
  <c r="AC170" i="5"/>
  <c r="AB171" i="5"/>
  <c r="N252" i="5"/>
  <c r="T250" i="5"/>
  <c r="AF125" i="5"/>
  <c r="AE127" i="5"/>
  <c r="AG455" i="31"/>
  <c r="DO31" i="28"/>
  <c r="DO32" i="28" s="1"/>
  <c r="CV32" i="28"/>
  <c r="Y311" i="31"/>
  <c r="X312" i="31"/>
  <c r="X305" i="31"/>
  <c r="W306" i="31"/>
  <c r="G414" i="5"/>
  <c r="G463" i="5" s="1"/>
  <c r="F428" i="5"/>
  <c r="F456" i="5" s="1"/>
  <c r="S212" i="5"/>
  <c r="T198" i="5"/>
  <c r="AO85" i="5"/>
  <c r="AO88" i="5" s="1"/>
  <c r="AN88" i="5"/>
  <c r="AF395" i="5"/>
  <c r="AE397" i="5"/>
  <c r="S76" i="1"/>
  <c r="S26" i="7" s="1"/>
  <c r="U63" i="1"/>
  <c r="T65" i="1"/>
  <c r="T70" i="1"/>
  <c r="DC26" i="7"/>
  <c r="DV26" i="7" s="1"/>
  <c r="DB27" i="7"/>
  <c r="DU27" i="7" s="1"/>
  <c r="S89" i="1"/>
  <c r="R93" i="1"/>
  <c r="R27" i="7" s="1"/>
  <c r="DC27" i="7" s="1"/>
  <c r="DV27" i="7" s="1"/>
  <c r="R28" i="1"/>
  <c r="R32" i="1" s="1"/>
  <c r="R20" i="7" s="1"/>
  <c r="R16" i="7"/>
  <c r="DT16" i="7"/>
  <c r="Q36" i="7"/>
  <c r="DB16" i="7"/>
  <c r="P293" i="5"/>
  <c r="P297" i="5" s="1"/>
  <c r="P446" i="5" s="1"/>
  <c r="M11" i="11"/>
  <c r="M12" i="11" s="1"/>
  <c r="M46" i="7"/>
  <c r="O23" i="16"/>
  <c r="N142" i="1"/>
  <c r="N144" i="1" s="1"/>
  <c r="O20" i="16"/>
  <c r="N139" i="1"/>
  <c r="N141" i="1" s="1"/>
  <c r="L46" i="7"/>
  <c r="L11" i="11"/>
  <c r="L12" i="11" s="1"/>
  <c r="CV46" i="7"/>
  <c r="DO46" i="7" s="1"/>
  <c r="AO31" i="5"/>
  <c r="AO34" i="5" s="1"/>
  <c r="AN34" i="5"/>
  <c r="T318" i="5"/>
  <c r="U318" i="5"/>
  <c r="U320" i="5" s="1"/>
  <c r="U324" i="5" s="1"/>
  <c r="U447" i="5" s="1"/>
  <c r="V317" i="5"/>
  <c r="V117" i="1"/>
  <c r="V119" i="1" s="1"/>
  <c r="V31" i="7" s="1"/>
  <c r="U168" i="1"/>
  <c r="R189" i="1"/>
  <c r="R190" i="1" s="1"/>
  <c r="R14" i="11" s="1"/>
  <c r="R37" i="1"/>
  <c r="R21" i="7" s="1"/>
  <c r="AE91" i="1"/>
  <c r="S35" i="1"/>
  <c r="S10" i="1"/>
  <c r="S16" i="7" s="1"/>
  <c r="T8" i="1"/>
  <c r="AF140" i="1"/>
  <c r="AD28" i="7"/>
  <c r="AF143" i="1"/>
  <c r="AL20" i="1"/>
  <c r="AL18" i="7" s="1"/>
  <c r="AM18" i="1"/>
  <c r="AI15" i="1"/>
  <c r="AI17" i="7" s="1"/>
  <c r="AJ13" i="1"/>
  <c r="AG188" i="1"/>
  <c r="AH188" i="1" s="1"/>
  <c r="DE23" i="7"/>
  <c r="AA104" i="5"/>
  <c r="AC209" i="5"/>
  <c r="AC210" i="5" s="1"/>
  <c r="AC203" i="5"/>
  <c r="AD197" i="5"/>
  <c r="O293" i="5"/>
  <c r="AB293" i="5"/>
  <c r="P330" i="5"/>
  <c r="P304" i="5"/>
  <c r="P306" i="5" s="1"/>
  <c r="P320" i="5" s="1"/>
  <c r="P324" i="5" s="1"/>
  <c r="P447" i="5" s="1"/>
  <c r="AA121" i="5"/>
  <c r="AA123" i="5" s="1"/>
  <c r="AB119" i="5"/>
  <c r="V74" i="5"/>
  <c r="V75" i="5" s="1"/>
  <c r="W62" i="5"/>
  <c r="V68" i="5"/>
  <c r="V69" i="5" s="1"/>
  <c r="V63" i="5"/>
  <c r="AE233" i="5"/>
  <c r="AD235" i="5"/>
  <c r="W35" i="5"/>
  <c r="V41" i="5"/>
  <c r="V36" i="5"/>
  <c r="V47" i="5"/>
  <c r="V48" i="5" s="1"/>
  <c r="U15" i="5"/>
  <c r="V38" i="5"/>
  <c r="V40" i="5" s="1"/>
  <c r="W11" i="5"/>
  <c r="V13" i="5"/>
  <c r="V15" i="5" s="1"/>
  <c r="V23" i="5" s="1"/>
  <c r="AD284" i="5"/>
  <c r="AD285" i="5" s="1"/>
  <c r="AE278" i="5"/>
  <c r="AD290" i="5"/>
  <c r="AG455" i="5"/>
  <c r="O306" i="5"/>
  <c r="AE304" i="5"/>
  <c r="AF303" i="5"/>
  <c r="AH304" i="5" s="1"/>
  <c r="AA374" i="5"/>
  <c r="AC200" i="5"/>
  <c r="AB202" i="5"/>
  <c r="AD256" i="5"/>
  <c r="AE254" i="5"/>
  <c r="AE92" i="5"/>
  <c r="AD94" i="5"/>
  <c r="R27" i="5"/>
  <c r="T23" i="5"/>
  <c r="AD100" i="5"/>
  <c r="AE98" i="5"/>
  <c r="AE250" i="5"/>
  <c r="AF249" i="5"/>
  <c r="AH250" i="5" s="1"/>
  <c r="R437" i="5"/>
  <c r="T437" i="5" s="1"/>
  <c r="T54" i="5"/>
  <c r="AG314" i="5"/>
  <c r="AF316" i="5"/>
  <c r="AB101" i="5"/>
  <c r="AB102" i="5" s="1"/>
  <c r="AB95" i="5"/>
  <c r="AB96" i="5" s="1"/>
  <c r="AB90" i="5"/>
  <c r="AC89" i="5"/>
  <c r="AC262" i="5"/>
  <c r="AD260" i="5"/>
  <c r="AF335" i="5"/>
  <c r="AH335" i="5" s="1"/>
  <c r="AH337" i="5" s="1"/>
  <c r="AE337" i="5"/>
  <c r="O444" i="5"/>
  <c r="Z183" i="5"/>
  <c r="Z185" i="5" s="1"/>
  <c r="AA182" i="5"/>
  <c r="O270" i="5"/>
  <c r="AF65" i="5"/>
  <c r="AE67" i="5"/>
  <c r="U77" i="5"/>
  <c r="S81" i="5"/>
  <c r="T77" i="5"/>
  <c r="U42" i="5"/>
  <c r="U50" i="5" s="1"/>
  <c r="O357" i="5"/>
  <c r="O331" i="5"/>
  <c r="AC359" i="5"/>
  <c r="AB371" i="5"/>
  <c r="AB372" i="5" s="1"/>
  <c r="AB365" i="5"/>
  <c r="AB366" i="5" s="1"/>
  <c r="AB360" i="5"/>
  <c r="AE276" i="5"/>
  <c r="AD277" i="5"/>
  <c r="AD279" i="5" s="1"/>
  <c r="P270" i="5"/>
  <c r="P445" i="5" s="1"/>
  <c r="AB229" i="5"/>
  <c r="AC227" i="5"/>
  <c r="AB305" i="5"/>
  <c r="AA306" i="5"/>
  <c r="T50" i="5"/>
  <c r="DI19" i="7"/>
  <c r="EB19" i="7" s="1"/>
  <c r="E21" i="3"/>
  <c r="F20" i="3"/>
  <c r="AH26" i="16"/>
  <c r="AG26" i="16"/>
  <c r="O13" i="18"/>
  <c r="L135" i="31" l="1"/>
  <c r="AG384" i="31"/>
  <c r="AH358" i="31"/>
  <c r="AG358" i="31"/>
  <c r="Y25" i="28"/>
  <c r="X36" i="28"/>
  <c r="X41" i="28" s="1"/>
  <c r="X30" i="28"/>
  <c r="M438" i="31"/>
  <c r="M236" i="31"/>
  <c r="M237" i="31" s="1"/>
  <c r="M230" i="31"/>
  <c r="M231" i="31" s="1"/>
  <c r="M225" i="31"/>
  <c r="N224" i="31"/>
  <c r="Z311" i="5"/>
  <c r="Y312" i="5"/>
  <c r="N95" i="31"/>
  <c r="N96" i="31" s="1"/>
  <c r="O96" i="31" s="1"/>
  <c r="N90" i="31"/>
  <c r="O90" i="31" s="1"/>
  <c r="O89" i="31"/>
  <c r="N101" i="31"/>
  <c r="N102" i="31" s="1"/>
  <c r="P89" i="31"/>
  <c r="N47" i="31"/>
  <c r="N48" i="31" s="1"/>
  <c r="O35" i="31"/>
  <c r="P35" i="31"/>
  <c r="N41" i="31"/>
  <c r="N42" i="31" s="1"/>
  <c r="O42" i="31" s="1"/>
  <c r="N36" i="31"/>
  <c r="O36" i="31" s="1"/>
  <c r="L428" i="31"/>
  <c r="R357" i="5"/>
  <c r="R331" i="5"/>
  <c r="R333" i="5" s="1"/>
  <c r="R347" i="5" s="1"/>
  <c r="R351" i="5" s="1"/>
  <c r="R448" i="5" s="1"/>
  <c r="Y227" i="31"/>
  <c r="X229" i="31"/>
  <c r="N122" i="31"/>
  <c r="N123" i="31" s="1"/>
  <c r="O123" i="31" s="1"/>
  <c r="O116" i="31"/>
  <c r="N128" i="31"/>
  <c r="N129" i="31" s="1"/>
  <c r="N117" i="31"/>
  <c r="P116" i="31"/>
  <c r="AB92" i="31"/>
  <c r="AC92" i="31"/>
  <c r="AA94" i="31"/>
  <c r="AB94" i="31" s="1"/>
  <c r="M297" i="31"/>
  <c r="W263" i="5"/>
  <c r="W264" i="5" s="1"/>
  <c r="W257" i="5"/>
  <c r="W258" i="5" s="1"/>
  <c r="X251" i="5"/>
  <c r="W252" i="5"/>
  <c r="Z314" i="31"/>
  <c r="Y316" i="31"/>
  <c r="I443" i="31"/>
  <c r="I452" i="31" s="1"/>
  <c r="S143" i="31"/>
  <c r="R155" i="31"/>
  <c r="R156" i="31" s="1"/>
  <c r="R149" i="31"/>
  <c r="R150" i="31" s="1"/>
  <c r="R144" i="31"/>
  <c r="Y154" i="31"/>
  <c r="Z152" i="31"/>
  <c r="DO42" i="28"/>
  <c r="DO43" i="28" s="1"/>
  <c r="AB420" i="5"/>
  <c r="V106" i="5"/>
  <c r="V108" i="5" s="1"/>
  <c r="V439" i="5" s="1"/>
  <c r="V160" i="5"/>
  <c r="V162" i="5" s="1"/>
  <c r="V441" i="5" s="1"/>
  <c r="V241" i="5"/>
  <c r="V133" i="5"/>
  <c r="V135" i="5" s="1"/>
  <c r="V440" i="5" s="1"/>
  <c r="V79" i="5"/>
  <c r="V187" i="5"/>
  <c r="V189" i="5" s="1"/>
  <c r="V442" i="5" s="1"/>
  <c r="V430" i="5"/>
  <c r="V432" i="5" s="1"/>
  <c r="V451" i="5" s="1"/>
  <c r="V295" i="5"/>
  <c r="V297" i="5" s="1"/>
  <c r="V446" i="5" s="1"/>
  <c r="V52" i="5"/>
  <c r="V376" i="5"/>
  <c r="V378" i="5" s="1"/>
  <c r="V449" i="5" s="1"/>
  <c r="W25" i="5"/>
  <c r="V268" i="5"/>
  <c r="V403" i="5"/>
  <c r="V405" i="5" s="1"/>
  <c r="V450" i="5" s="1"/>
  <c r="V214" i="5"/>
  <c r="V216" i="5" s="1"/>
  <c r="V443" i="5" s="1"/>
  <c r="V322" i="5"/>
  <c r="V349" i="5"/>
  <c r="V351" i="5" s="1"/>
  <c r="V448" i="5" s="1"/>
  <c r="AC127" i="31"/>
  <c r="AD125" i="31"/>
  <c r="AA31" i="28"/>
  <c r="AA37" i="28"/>
  <c r="AA42" i="28" s="1"/>
  <c r="AB26" i="28"/>
  <c r="K437" i="31"/>
  <c r="Z310" i="31"/>
  <c r="AA308" i="31"/>
  <c r="N306" i="31"/>
  <c r="O304" i="31"/>
  <c r="Z341" i="31"/>
  <c r="Y343" i="31"/>
  <c r="AA168" i="31"/>
  <c r="Z195" i="31"/>
  <c r="Z169" i="31"/>
  <c r="L239" i="31"/>
  <c r="L243" i="31" s="1"/>
  <c r="L444" i="31" s="1"/>
  <c r="X397" i="31"/>
  <c r="Y395" i="31"/>
  <c r="AJ31" i="31"/>
  <c r="AJ34" i="31" s="1"/>
  <c r="AI34" i="31"/>
  <c r="AC418" i="5"/>
  <c r="AD416" i="5"/>
  <c r="L209" i="31"/>
  <c r="L210" i="31" s="1"/>
  <c r="M197" i="31"/>
  <c r="L203" i="31"/>
  <c r="L204" i="31" s="1"/>
  <c r="L198" i="31"/>
  <c r="L212" i="31" s="1"/>
  <c r="L216" i="31" s="1"/>
  <c r="L443" i="31" s="1"/>
  <c r="L14" i="31"/>
  <c r="L15" i="31" s="1"/>
  <c r="L20" i="31"/>
  <c r="L21" i="31" s="1"/>
  <c r="M8" i="31"/>
  <c r="L9" i="31"/>
  <c r="L360" i="31"/>
  <c r="L365" i="31"/>
  <c r="L366" i="31" s="1"/>
  <c r="M359" i="31"/>
  <c r="L371" i="31"/>
  <c r="L372" i="31" s="1"/>
  <c r="Z98" i="31"/>
  <c r="Y100" i="31"/>
  <c r="M131" i="31"/>
  <c r="M135" i="31" s="1"/>
  <c r="M440" i="31" s="1"/>
  <c r="O117" i="31"/>
  <c r="L185" i="31"/>
  <c r="P398" i="31"/>
  <c r="P399" i="31" s="1"/>
  <c r="Q386" i="31"/>
  <c r="P392" i="31"/>
  <c r="P393" i="31" s="1"/>
  <c r="P387" i="31"/>
  <c r="Y287" i="31"/>
  <c r="X289" i="31"/>
  <c r="Q384" i="5"/>
  <c r="Q358" i="5"/>
  <c r="Q360" i="5" s="1"/>
  <c r="Q374" i="5" s="1"/>
  <c r="M347" i="31"/>
  <c r="M351" i="31" s="1"/>
  <c r="M448" i="31" s="1"/>
  <c r="X75" i="31"/>
  <c r="AD256" i="31"/>
  <c r="AE254" i="31"/>
  <c r="W69" i="31"/>
  <c r="CY41" i="28"/>
  <c r="DR41" i="28" s="1"/>
  <c r="S239" i="5"/>
  <c r="S243" i="5" s="1"/>
  <c r="S444" i="5" s="1"/>
  <c r="Y148" i="31"/>
  <c r="Z146" i="31"/>
  <c r="Z181" i="31"/>
  <c r="AA179" i="31"/>
  <c r="DS36" i="28"/>
  <c r="M41" i="28"/>
  <c r="M441" i="31"/>
  <c r="O162" i="31"/>
  <c r="N430" i="31"/>
  <c r="N322" i="31"/>
  <c r="N214" i="31"/>
  <c r="N133" i="31"/>
  <c r="N376" i="31"/>
  <c r="N268" i="31"/>
  <c r="N106" i="31"/>
  <c r="N52" i="31"/>
  <c r="N349" i="31"/>
  <c r="N241" i="31"/>
  <c r="N187" i="31"/>
  <c r="O25" i="31"/>
  <c r="N403" i="31"/>
  <c r="N295" i="31"/>
  <c r="N160" i="31"/>
  <c r="N162" i="31" s="1"/>
  <c r="N441" i="31" s="1"/>
  <c r="N79" i="31"/>
  <c r="N81" i="31" s="1"/>
  <c r="N438" i="31" s="1"/>
  <c r="W20" i="5"/>
  <c r="W21" i="5" s="1"/>
  <c r="W14" i="5"/>
  <c r="W9" i="5"/>
  <c r="X8" i="5"/>
  <c r="M108" i="31"/>
  <c r="M439" i="31" s="1"/>
  <c r="M50" i="31"/>
  <c r="Y364" i="31"/>
  <c r="Z362" i="31"/>
  <c r="K270" i="31"/>
  <c r="Y262" i="31"/>
  <c r="Z260" i="31"/>
  <c r="J444" i="31"/>
  <c r="K23" i="31"/>
  <c r="K463" i="31"/>
  <c r="K465" i="31" s="1"/>
  <c r="K374" i="31"/>
  <c r="AB368" i="31"/>
  <c r="AC368" i="31"/>
  <c r="AA370" i="31"/>
  <c r="AB370" i="31" s="1"/>
  <c r="M257" i="31"/>
  <c r="M258" i="31" s="1"/>
  <c r="N251" i="31"/>
  <c r="M252" i="31"/>
  <c r="M263" i="31"/>
  <c r="M264" i="31" s="1"/>
  <c r="AC222" i="5"/>
  <c r="AC223" i="5" s="1"/>
  <c r="AC196" i="5"/>
  <c r="AC198" i="5" s="1"/>
  <c r="AC206" i="31"/>
  <c r="AB206" i="31"/>
  <c r="AA208" i="31"/>
  <c r="AB208" i="31" s="1"/>
  <c r="Z281" i="31"/>
  <c r="Y283" i="31"/>
  <c r="N344" i="31"/>
  <c r="N345" i="31" s="1"/>
  <c r="O345" i="31" s="1"/>
  <c r="O332" i="31"/>
  <c r="N338" i="31"/>
  <c r="N339" i="31" s="1"/>
  <c r="P332" i="31"/>
  <c r="AF422" i="31"/>
  <c r="AE424" i="31"/>
  <c r="X69" i="1"/>
  <c r="AD310" i="5"/>
  <c r="AE308" i="5"/>
  <c r="K448" i="31"/>
  <c r="AA158" i="5"/>
  <c r="AD391" i="5"/>
  <c r="AE389" i="5"/>
  <c r="M176" i="31"/>
  <c r="M177" i="31" s="1"/>
  <c r="N170" i="31"/>
  <c r="M171" i="31"/>
  <c r="M185" i="31" s="1"/>
  <c r="M189" i="31" s="1"/>
  <c r="M442" i="31" s="1"/>
  <c r="AE370" i="5"/>
  <c r="AF368" i="5"/>
  <c r="G436" i="31"/>
  <c r="AE146" i="5"/>
  <c r="AD148" i="5"/>
  <c r="Y11" i="31"/>
  <c r="X13" i="31"/>
  <c r="X65" i="31"/>
  <c r="X67" i="31" s="1"/>
  <c r="X69" i="31" s="1"/>
  <c r="X77" i="31" s="1"/>
  <c r="N357" i="31"/>
  <c r="N331" i="31"/>
  <c r="O330" i="31"/>
  <c r="Y418" i="31"/>
  <c r="Z416" i="31"/>
  <c r="Y196" i="31"/>
  <c r="Y222" i="31"/>
  <c r="Y223" i="31" s="1"/>
  <c r="J27" i="31"/>
  <c r="J436" i="31" s="1"/>
  <c r="J456" i="31"/>
  <c r="J457" i="31" s="1"/>
  <c r="AC173" i="31"/>
  <c r="AB173" i="31"/>
  <c r="AA175" i="31"/>
  <c r="AB175" i="31" s="1"/>
  <c r="N30" i="28"/>
  <c r="N36" i="28"/>
  <c r="DT25" i="28"/>
  <c r="DU25" i="28" s="1"/>
  <c r="AA35" i="28"/>
  <c r="AA40" i="28" s="1"/>
  <c r="AA29" i="28"/>
  <c r="AB24" i="28"/>
  <c r="AD341" i="5"/>
  <c r="AC343" i="5"/>
  <c r="N413" i="31"/>
  <c r="M419" i="31"/>
  <c r="M420" i="31" s="1"/>
  <c r="M425" i="31"/>
  <c r="M426" i="31" s="1"/>
  <c r="M414" i="31"/>
  <c r="X182" i="31"/>
  <c r="X183" i="31" s="1"/>
  <c r="W183" i="31"/>
  <c r="K212" i="31"/>
  <c r="K216" i="31" s="1"/>
  <c r="K443" i="31" s="1"/>
  <c r="AE412" i="5"/>
  <c r="AF411" i="5"/>
  <c r="AE168" i="5"/>
  <c r="AD169" i="5"/>
  <c r="AD195" i="5"/>
  <c r="AD202" i="31"/>
  <c r="AE200" i="31"/>
  <c r="O398" i="31"/>
  <c r="O392" i="31"/>
  <c r="N284" i="31"/>
  <c r="N285" i="31" s="1"/>
  <c r="P278" i="31"/>
  <c r="N290" i="31"/>
  <c r="N291" i="31" s="1"/>
  <c r="O291" i="31" s="1"/>
  <c r="O278" i="31"/>
  <c r="V266" i="5"/>
  <c r="AC337" i="31"/>
  <c r="AD335" i="31"/>
  <c r="J451" i="31"/>
  <c r="AB38" i="31"/>
  <c r="AA40" i="31"/>
  <c r="AB40" i="31" s="1"/>
  <c r="Z17" i="31"/>
  <c r="Y71" i="31"/>
  <c r="Y73" i="31" s="1"/>
  <c r="Y75" i="31" s="1"/>
  <c r="Y19" i="31"/>
  <c r="AB149" i="5"/>
  <c r="AB150" i="5" s="1"/>
  <c r="AC143" i="5"/>
  <c r="AB144" i="5"/>
  <c r="AB155" i="5"/>
  <c r="AB156" i="5" s="1"/>
  <c r="F457" i="5"/>
  <c r="G456" i="5"/>
  <c r="AH395" i="5"/>
  <c r="AG395" i="5"/>
  <c r="AF397" i="5"/>
  <c r="AG397" i="5" s="1"/>
  <c r="S216" i="5"/>
  <c r="T212" i="5"/>
  <c r="Y305" i="31"/>
  <c r="X306" i="31"/>
  <c r="Z311" i="31"/>
  <c r="Y312" i="31"/>
  <c r="AH455" i="31"/>
  <c r="AH125" i="5"/>
  <c r="AF127" i="5"/>
  <c r="AG125" i="5"/>
  <c r="N266" i="5"/>
  <c r="T252" i="5"/>
  <c r="AD170" i="5"/>
  <c r="AC176" i="5"/>
  <c r="AC177" i="5" s="1"/>
  <c r="AC171" i="5"/>
  <c r="CW42" i="28"/>
  <c r="CW43" i="28" s="1"/>
  <c r="J43" i="28"/>
  <c r="AF422" i="5"/>
  <c r="AE424" i="5"/>
  <c r="Z330" i="31"/>
  <c r="Y331" i="31"/>
  <c r="AO328" i="5"/>
  <c r="AO331" i="5" s="1"/>
  <c r="AN331" i="5"/>
  <c r="Z411" i="31"/>
  <c r="Y412" i="31"/>
  <c r="Y317" i="31"/>
  <c r="X318" i="31"/>
  <c r="N279" i="5"/>
  <c r="S277" i="5"/>
  <c r="S279" i="5" s="1"/>
  <c r="T276" i="5"/>
  <c r="S303" i="5"/>
  <c r="F450" i="5"/>
  <c r="G405" i="5"/>
  <c r="G450" i="5" s="1"/>
  <c r="T230" i="5"/>
  <c r="T236" i="5"/>
  <c r="CX31" i="28"/>
  <c r="K32" i="28"/>
  <c r="AF391" i="31"/>
  <c r="AG389" i="31"/>
  <c r="AB398" i="5"/>
  <c r="AB399" i="5" s="1"/>
  <c r="AB387" i="5"/>
  <c r="AB392" i="5"/>
  <c r="AB393" i="5" s="1"/>
  <c r="AC386" i="5"/>
  <c r="AB428" i="5"/>
  <c r="AC425" i="5"/>
  <c r="AC426" i="5" s="1"/>
  <c r="AD413" i="5"/>
  <c r="AC419" i="5"/>
  <c r="AC420" i="5" s="1"/>
  <c r="AC414" i="5"/>
  <c r="AA384" i="31"/>
  <c r="Z385" i="31"/>
  <c r="Z357" i="31"/>
  <c r="Y358" i="31"/>
  <c r="Z276" i="31"/>
  <c r="Y277" i="31"/>
  <c r="S442" i="5"/>
  <c r="T189" i="5"/>
  <c r="T442" i="5" s="1"/>
  <c r="AE173" i="5"/>
  <c r="AD175" i="5"/>
  <c r="AA347" i="5"/>
  <c r="F432" i="5"/>
  <c r="G428" i="5"/>
  <c r="W320" i="31"/>
  <c r="AE206" i="5"/>
  <c r="AD208" i="5"/>
  <c r="DP31" i="28"/>
  <c r="DP32" i="28" s="1"/>
  <c r="CW32" i="28"/>
  <c r="AF100" i="1"/>
  <c r="AE107" i="1"/>
  <c r="AJ68" i="31"/>
  <c r="AJ69" i="31" s="1"/>
  <c r="AI69" i="31"/>
  <c r="Z62" i="31"/>
  <c r="Y63" i="31"/>
  <c r="AE7" i="5"/>
  <c r="AF6" i="5"/>
  <c r="AB128" i="5"/>
  <c r="AB129" i="5" s="1"/>
  <c r="AC116" i="5"/>
  <c r="AB122" i="5"/>
  <c r="AB117" i="5"/>
  <c r="AN7" i="5"/>
  <c r="AO4" i="5"/>
  <c r="AO7" i="5" s="1"/>
  <c r="N304" i="5"/>
  <c r="N330" i="5"/>
  <c r="AB44" i="5"/>
  <c r="AB46" i="5" s="1"/>
  <c r="AB19" i="5"/>
  <c r="AC17" i="5"/>
  <c r="AE287" i="5"/>
  <c r="AD289" i="5"/>
  <c r="AD291" i="5" s="1"/>
  <c r="AD293" i="5" s="1"/>
  <c r="AH154" i="5"/>
  <c r="AI152" i="5"/>
  <c r="AK281" i="5"/>
  <c r="AJ283" i="5"/>
  <c r="AJ362" i="5"/>
  <c r="AI364" i="5"/>
  <c r="AJ233" i="31"/>
  <c r="AJ235" i="31" s="1"/>
  <c r="AI235" i="31"/>
  <c r="U236" i="5"/>
  <c r="U237" i="5" s="1"/>
  <c r="U230" i="5"/>
  <c r="U231" i="5" s="1"/>
  <c r="U225" i="5"/>
  <c r="U463" i="5" s="1"/>
  <c r="U465" i="5" s="1"/>
  <c r="U8" i="7" s="1"/>
  <c r="V224" i="5"/>
  <c r="K42" i="28"/>
  <c r="DQ37" i="28"/>
  <c r="L31" i="28"/>
  <c r="DR26" i="28"/>
  <c r="L37" i="28"/>
  <c r="M26" i="28"/>
  <c r="AA401" i="5"/>
  <c r="AJ74" i="31"/>
  <c r="AJ75" i="31" s="1"/>
  <c r="AI75" i="31"/>
  <c r="AB344" i="5"/>
  <c r="AB345" i="5" s="1"/>
  <c r="AB333" i="5"/>
  <c r="AC332" i="5"/>
  <c r="AB338" i="5"/>
  <c r="AB339" i="5" s="1"/>
  <c r="N243" i="5"/>
  <c r="T239" i="5"/>
  <c r="AF179" i="5"/>
  <c r="AE181" i="5"/>
  <c r="AJ26" i="16"/>
  <c r="AL26" i="16" s="1"/>
  <c r="AN26" i="16" s="1"/>
  <c r="AI26" i="16"/>
  <c r="AK26" i="16" s="1"/>
  <c r="AM26" i="16" s="1"/>
  <c r="AO26" i="16" s="1"/>
  <c r="DD26" i="7"/>
  <c r="DW26" i="7" s="1"/>
  <c r="DX26" i="7" s="1"/>
  <c r="T26" i="7"/>
  <c r="T76" i="1"/>
  <c r="V63" i="1"/>
  <c r="U65" i="1"/>
  <c r="U70" i="1"/>
  <c r="U72" i="1" s="1"/>
  <c r="T89" i="1"/>
  <c r="S93" i="1"/>
  <c r="S27" i="7" s="1"/>
  <c r="DD27" i="7" s="1"/>
  <c r="DW27" i="7" s="1"/>
  <c r="DX27" i="7" s="1"/>
  <c r="DD16" i="7"/>
  <c r="DU16" i="7"/>
  <c r="DU36" i="7" s="1"/>
  <c r="DB36" i="7"/>
  <c r="R36" i="7"/>
  <c r="DC16" i="7"/>
  <c r="DE16" i="7" s="1"/>
  <c r="T16" i="7"/>
  <c r="DC20" i="7"/>
  <c r="N146" i="1"/>
  <c r="N11" i="11" s="1"/>
  <c r="N12" i="11" s="1"/>
  <c r="CW46" i="7"/>
  <c r="DP46" i="7" s="1"/>
  <c r="O139" i="1"/>
  <c r="P20" i="16"/>
  <c r="N46" i="7"/>
  <c r="P23" i="16"/>
  <c r="O142" i="1"/>
  <c r="O144" i="1" s="1"/>
  <c r="CX46" i="7"/>
  <c r="DQ46" i="7" s="1"/>
  <c r="V42" i="5"/>
  <c r="V318" i="5"/>
  <c r="V320" i="5" s="1"/>
  <c r="W317" i="5"/>
  <c r="W117" i="1"/>
  <c r="W119" i="1" s="1"/>
  <c r="W31" i="7" s="1"/>
  <c r="V168" i="1"/>
  <c r="AI188" i="1"/>
  <c r="S28" i="1"/>
  <c r="S32" i="1" s="1"/>
  <c r="S20" i="7" s="1"/>
  <c r="DD20" i="7" s="1"/>
  <c r="DW20" i="7" s="1"/>
  <c r="T10" i="1"/>
  <c r="T28" i="1" s="1"/>
  <c r="T32" i="1" s="1"/>
  <c r="AF91" i="1"/>
  <c r="AJ15" i="1"/>
  <c r="AJ17" i="7" s="1"/>
  <c r="AK13" i="1"/>
  <c r="AM20" i="1"/>
  <c r="AM18" i="7" s="1"/>
  <c r="AN18" i="1"/>
  <c r="AH143" i="1"/>
  <c r="AG143" i="1"/>
  <c r="AE28" i="7"/>
  <c r="AH140" i="1"/>
  <c r="AG140" i="1"/>
  <c r="T35" i="1"/>
  <c r="T189" i="1" s="1"/>
  <c r="U8" i="1"/>
  <c r="S189" i="1"/>
  <c r="S190" i="1" s="1"/>
  <c r="S37" i="1"/>
  <c r="U54" i="5"/>
  <c r="AC305" i="5"/>
  <c r="AB306" i="5"/>
  <c r="AB374" i="5"/>
  <c r="O333" i="5"/>
  <c r="AG335" i="5"/>
  <c r="AF337" i="5"/>
  <c r="AB104" i="5"/>
  <c r="AF250" i="5"/>
  <c r="AG250" i="5" s="1"/>
  <c r="AG249" i="5"/>
  <c r="AE100" i="5"/>
  <c r="AF98" i="5"/>
  <c r="AH98" i="5" s="1"/>
  <c r="AH100" i="5" s="1"/>
  <c r="R436" i="5"/>
  <c r="T27" i="5"/>
  <c r="AF92" i="5"/>
  <c r="AH92" i="5" s="1"/>
  <c r="AH94" i="5" s="1"/>
  <c r="AE94" i="5"/>
  <c r="AB204" i="5"/>
  <c r="AB212" i="5" s="1"/>
  <c r="AE284" i="5"/>
  <c r="AE285" i="5" s="1"/>
  <c r="AF278" i="5"/>
  <c r="AH278" i="5" s="1"/>
  <c r="AE290" i="5"/>
  <c r="V27" i="5"/>
  <c r="V436" i="5" s="1"/>
  <c r="AF233" i="5"/>
  <c r="AH233" i="5" s="1"/>
  <c r="AH235" i="5" s="1"/>
  <c r="AE235" i="5"/>
  <c r="V77" i="5"/>
  <c r="V81" i="5" s="1"/>
  <c r="V438" i="5" s="1"/>
  <c r="X62" i="5"/>
  <c r="W74" i="5"/>
  <c r="W75" i="5" s="1"/>
  <c r="W68" i="5"/>
  <c r="W69" i="5" s="1"/>
  <c r="W63" i="5"/>
  <c r="AA131" i="5"/>
  <c r="P357" i="5"/>
  <c r="P331" i="5"/>
  <c r="P333" i="5" s="1"/>
  <c r="O297" i="5"/>
  <c r="AC229" i="5"/>
  <c r="AD227" i="5"/>
  <c r="AF276" i="5"/>
  <c r="AH277" i="5" s="1"/>
  <c r="AE277" i="5"/>
  <c r="AE279" i="5" s="1"/>
  <c r="AC371" i="5"/>
  <c r="AC372" i="5" s="1"/>
  <c r="AC360" i="5"/>
  <c r="AD359" i="5"/>
  <c r="AC365" i="5"/>
  <c r="AC366" i="5" s="1"/>
  <c r="O384" i="5"/>
  <c r="O358" i="5"/>
  <c r="S438" i="5"/>
  <c r="T81" i="5"/>
  <c r="U81" i="5"/>
  <c r="AF67" i="5"/>
  <c r="AG65" i="5"/>
  <c r="O445" i="5"/>
  <c r="AB182" i="5"/>
  <c r="AA183" i="5"/>
  <c r="AD262" i="5"/>
  <c r="AE260" i="5"/>
  <c r="AC101" i="5"/>
  <c r="AC102" i="5" s="1"/>
  <c r="AC95" i="5"/>
  <c r="AC96" i="5" s="1"/>
  <c r="AC90" i="5"/>
  <c r="AD89" i="5"/>
  <c r="AI314" i="5"/>
  <c r="AF254" i="5"/>
  <c r="AH254" i="5" s="1"/>
  <c r="AH256" i="5" s="1"/>
  <c r="AE256" i="5"/>
  <c r="AC202" i="5"/>
  <c r="AC204" i="5" s="1"/>
  <c r="AC212" i="5" s="1"/>
  <c r="AD200" i="5"/>
  <c r="AF304" i="5"/>
  <c r="AG303" i="5"/>
  <c r="O320" i="5"/>
  <c r="AI455" i="5"/>
  <c r="X11" i="5"/>
  <c r="W38" i="5"/>
  <c r="W40" i="5" s="1"/>
  <c r="W13" i="5"/>
  <c r="W15" i="5" s="1"/>
  <c r="W23" i="5" s="1"/>
  <c r="U23" i="5"/>
  <c r="V50" i="5"/>
  <c r="V54" i="5" s="1"/>
  <c r="V437" i="5" s="1"/>
  <c r="X35" i="5"/>
  <c r="W41" i="5"/>
  <c r="W47" i="5"/>
  <c r="W48" i="5" s="1"/>
  <c r="W36" i="5"/>
  <c r="AC119" i="5"/>
  <c r="AB121" i="5"/>
  <c r="AD209" i="5"/>
  <c r="AD210" i="5" s="1"/>
  <c r="AD203" i="5"/>
  <c r="AE197" i="5"/>
  <c r="AG337" i="5"/>
  <c r="AG316" i="5"/>
  <c r="E22" i="3"/>
  <c r="F21" i="3"/>
  <c r="AF412" i="5" l="1"/>
  <c r="AG412" i="5" s="1"/>
  <c r="AG411" i="5"/>
  <c r="N425" i="31"/>
  <c r="N426" i="31" s="1"/>
  <c r="O413" i="31"/>
  <c r="N419" i="31"/>
  <c r="N420" i="31" s="1"/>
  <c r="P413" i="31"/>
  <c r="X9" i="5"/>
  <c r="Y8" i="5"/>
  <c r="X14" i="5"/>
  <c r="X20" i="5"/>
  <c r="X21" i="5" s="1"/>
  <c r="W133" i="5"/>
  <c r="W135" i="5" s="1"/>
  <c r="W440" i="5" s="1"/>
  <c r="W79" i="5"/>
  <c r="W268" i="5"/>
  <c r="W52" i="5"/>
  <c r="W160" i="5"/>
  <c r="W162" i="5" s="1"/>
  <c r="W441" i="5" s="1"/>
  <c r="W214" i="5"/>
  <c r="W216" i="5" s="1"/>
  <c r="W443" i="5" s="1"/>
  <c r="W295" i="5"/>
  <c r="W297" i="5" s="1"/>
  <c r="W446" i="5" s="1"/>
  <c r="W322" i="5"/>
  <c r="X25" i="5"/>
  <c r="W106" i="5"/>
  <c r="W108" i="5" s="1"/>
  <c r="W439" i="5" s="1"/>
  <c r="W241" i="5"/>
  <c r="W187" i="5"/>
  <c r="W189" i="5" s="1"/>
  <c r="W442" i="5" s="1"/>
  <c r="W376" i="5"/>
  <c r="W378" i="5" s="1"/>
  <c r="W449" i="5" s="1"/>
  <c r="W430" i="5"/>
  <c r="W432" i="5" s="1"/>
  <c r="W451" i="5" s="1"/>
  <c r="W349" i="5"/>
  <c r="W351" i="5" s="1"/>
  <c r="W448" i="5" s="1"/>
  <c r="W403" i="5"/>
  <c r="W405" i="5" s="1"/>
  <c r="W450" i="5" s="1"/>
  <c r="AB347" i="5"/>
  <c r="AB401" i="5"/>
  <c r="AB158" i="5"/>
  <c r="Z71" i="31"/>
  <c r="Z73" i="31" s="1"/>
  <c r="Z75" i="31" s="1"/>
  <c r="AA17" i="31"/>
  <c r="Z19" i="31"/>
  <c r="M428" i="31"/>
  <c r="M432" i="31" s="1"/>
  <c r="M451" i="31" s="1"/>
  <c r="DA30" i="28"/>
  <c r="O30" i="28"/>
  <c r="AA416" i="31"/>
  <c r="Z418" i="31"/>
  <c r="O357" i="31"/>
  <c r="N358" i="31"/>
  <c r="N384" i="31"/>
  <c r="Z11" i="31"/>
  <c r="Y65" i="31"/>
  <c r="Y67" i="31" s="1"/>
  <c r="Y13" i="31"/>
  <c r="G452" i="31"/>
  <c r="O170" i="31"/>
  <c r="O176" i="31" s="1"/>
  <c r="N176" i="31"/>
  <c r="N177" i="31" s="1"/>
  <c r="O177" i="31" s="1"/>
  <c r="P170" i="31"/>
  <c r="N171" i="31"/>
  <c r="AF424" i="31"/>
  <c r="AG422" i="31"/>
  <c r="K378" i="31"/>
  <c r="M54" i="31"/>
  <c r="O441" i="31"/>
  <c r="W77" i="31"/>
  <c r="Q378" i="5"/>
  <c r="Q449" i="5" s="1"/>
  <c r="P401" i="31"/>
  <c r="M20" i="31"/>
  <c r="M21" i="31" s="1"/>
  <c r="M14" i="31"/>
  <c r="M15" i="31" s="1"/>
  <c r="M9" i="31"/>
  <c r="N8" i="31"/>
  <c r="AB168" i="31"/>
  <c r="AA195" i="31"/>
  <c r="AC169" i="31"/>
  <c r="AA169" i="31"/>
  <c r="N320" i="31"/>
  <c r="O306" i="31"/>
  <c r="AE125" i="31"/>
  <c r="AD127" i="31"/>
  <c r="R158" i="31"/>
  <c r="M446" i="31"/>
  <c r="Q116" i="31"/>
  <c r="P128" i="31"/>
  <c r="P129" i="31" s="1"/>
  <c r="P122" i="31"/>
  <c r="P123" i="31" s="1"/>
  <c r="P117" i="31"/>
  <c r="R384" i="5"/>
  <c r="R358" i="5"/>
  <c r="R360" i="5" s="1"/>
  <c r="R374" i="5" s="1"/>
  <c r="R378" i="5" s="1"/>
  <c r="R449" i="5" s="1"/>
  <c r="N50" i="31"/>
  <c r="N54" i="31" s="1"/>
  <c r="N437" i="31" s="1"/>
  <c r="O48" i="31"/>
  <c r="O95" i="31"/>
  <c r="O101" i="31"/>
  <c r="AA311" i="5"/>
  <c r="Z312" i="5"/>
  <c r="X43" i="28"/>
  <c r="AA181" i="31"/>
  <c r="AB181" i="31" s="1"/>
  <c r="AB179" i="31"/>
  <c r="AC179" i="31"/>
  <c r="S155" i="31"/>
  <c r="S156" i="31" s="1"/>
  <c r="S144" i="31"/>
  <c r="T143" i="31"/>
  <c r="S149" i="31"/>
  <c r="S150" i="31" s="1"/>
  <c r="S158" i="31" s="1"/>
  <c r="AA314" i="31"/>
  <c r="Z316" i="31"/>
  <c r="O122" i="31"/>
  <c r="O128" i="31"/>
  <c r="O47" i="31"/>
  <c r="O41" i="31"/>
  <c r="L440" i="31"/>
  <c r="O135" i="31"/>
  <c r="V324" i="5"/>
  <c r="V447" i="5" s="1"/>
  <c r="U239" i="5"/>
  <c r="U243" i="5" s="1"/>
  <c r="U444" i="5" s="1"/>
  <c r="T277" i="5"/>
  <c r="P284" i="31"/>
  <c r="P285" i="31" s="1"/>
  <c r="P290" i="31"/>
  <c r="P291" i="31" s="1"/>
  <c r="Q278" i="31"/>
  <c r="P279" i="31"/>
  <c r="P293" i="31" s="1"/>
  <c r="AE202" i="31"/>
  <c r="AF200" i="31"/>
  <c r="AF168" i="5"/>
  <c r="AE195" i="5"/>
  <c r="AE169" i="5"/>
  <c r="O426" i="31"/>
  <c r="AD343" i="5"/>
  <c r="AE341" i="5"/>
  <c r="J452" i="31"/>
  <c r="AH368" i="5"/>
  <c r="AF370" i="5"/>
  <c r="AG370" i="5" s="1"/>
  <c r="AG368" i="5"/>
  <c r="AF389" i="5"/>
  <c r="AE391" i="5"/>
  <c r="Q332" i="31"/>
  <c r="P333" i="31"/>
  <c r="P347" i="31" s="1"/>
  <c r="P338" i="31"/>
  <c r="P339" i="31" s="1"/>
  <c r="P344" i="31"/>
  <c r="P345" i="31" s="1"/>
  <c r="AD206" i="31"/>
  <c r="AC208" i="31"/>
  <c r="M266" i="31"/>
  <c r="AD368" i="31"/>
  <c r="AC370" i="31"/>
  <c r="K445" i="31"/>
  <c r="CZ41" i="28"/>
  <c r="DS41" i="28" s="1"/>
  <c r="Z148" i="31"/>
  <c r="AA146" i="31"/>
  <c r="Q385" i="5"/>
  <c r="Q387" i="5" s="1"/>
  <c r="Q411" i="5"/>
  <c r="Q412" i="5" s="1"/>
  <c r="Q414" i="5" s="1"/>
  <c r="Q428" i="5" s="1"/>
  <c r="Q432" i="5" s="1"/>
  <c r="Q451" i="5" s="1"/>
  <c r="L189" i="31"/>
  <c r="Z100" i="31"/>
  <c r="AA98" i="31"/>
  <c r="L374" i="31"/>
  <c r="L378" i="31" s="1"/>
  <c r="L449" i="31" s="1"/>
  <c r="N197" i="31"/>
  <c r="M209" i="31"/>
  <c r="M210" i="31" s="1"/>
  <c r="M198" i="31"/>
  <c r="M212" i="31" s="1"/>
  <c r="M216" i="31" s="1"/>
  <c r="M443" i="31" s="1"/>
  <c r="M203" i="31"/>
  <c r="M204" i="31" s="1"/>
  <c r="AB308" i="31"/>
  <c r="AC308" i="31"/>
  <c r="AA310" i="31"/>
  <c r="AB310" i="31" s="1"/>
  <c r="AB37" i="28"/>
  <c r="AB42" i="28" s="1"/>
  <c r="AC42" i="28" s="1"/>
  <c r="AB31" i="28"/>
  <c r="AC31" i="28" s="1"/>
  <c r="X252" i="5"/>
  <c r="X266" i="5" s="1"/>
  <c r="X257" i="5"/>
  <c r="X258" i="5" s="1"/>
  <c r="Y251" i="5"/>
  <c r="X263" i="5"/>
  <c r="X264" i="5" s="1"/>
  <c r="N230" i="31"/>
  <c r="N231" i="31" s="1"/>
  <c r="O231" i="31" s="1"/>
  <c r="N236" i="31"/>
  <c r="N237" i="31" s="1"/>
  <c r="O237" i="31" s="1"/>
  <c r="P224" i="31"/>
  <c r="O224" i="31"/>
  <c r="N225" i="31"/>
  <c r="O81" i="31"/>
  <c r="Y30" i="28"/>
  <c r="Y32" i="28" s="1"/>
  <c r="Y36" i="28"/>
  <c r="Y41" i="28" s="1"/>
  <c r="Y43" i="28" s="1"/>
  <c r="Z25" i="28"/>
  <c r="AG385" i="31"/>
  <c r="AG411" i="31"/>
  <c r="AH385" i="31"/>
  <c r="AC149" i="5"/>
  <c r="AC150" i="5" s="1"/>
  <c r="AC158" i="5" s="1"/>
  <c r="AD143" i="5"/>
  <c r="AC144" i="5"/>
  <c r="AC155" i="5"/>
  <c r="AC156" i="5" s="1"/>
  <c r="AD337" i="31"/>
  <c r="AE335" i="31"/>
  <c r="O290" i="31"/>
  <c r="O284" i="31"/>
  <c r="AD222" i="5"/>
  <c r="AD223" i="5" s="1"/>
  <c r="AD196" i="5"/>
  <c r="AD198" i="5" s="1"/>
  <c r="DT36" i="28"/>
  <c r="DU36" i="28" s="1"/>
  <c r="N41" i="28"/>
  <c r="AD173" i="31"/>
  <c r="AC175" i="31"/>
  <c r="N333" i="31"/>
  <c r="O333" i="31" s="1"/>
  <c r="O331" i="31"/>
  <c r="O338" i="31"/>
  <c r="O344" i="31"/>
  <c r="O430" i="31"/>
  <c r="O403" i="31"/>
  <c r="O187" i="31"/>
  <c r="O295" i="31"/>
  <c r="O106" i="31"/>
  <c r="O268" i="31"/>
  <c r="P25" i="31"/>
  <c r="O79" i="31"/>
  <c r="O349" i="31"/>
  <c r="O160" i="31"/>
  <c r="O322" i="31"/>
  <c r="O52" i="31"/>
  <c r="O133" i="31"/>
  <c r="O376" i="31"/>
  <c r="O214" i="31"/>
  <c r="O241" i="31"/>
  <c r="Y289" i="31"/>
  <c r="Z287" i="31"/>
  <c r="N359" i="31"/>
  <c r="M371" i="31"/>
  <c r="M372" i="31" s="1"/>
  <c r="M365" i="31"/>
  <c r="M366" i="31" s="1"/>
  <c r="M360" i="31"/>
  <c r="M374" i="31" s="1"/>
  <c r="M378" i="31" s="1"/>
  <c r="M449" i="31" s="1"/>
  <c r="L23" i="31"/>
  <c r="L463" i="31"/>
  <c r="L465" i="31" s="1"/>
  <c r="AE416" i="5"/>
  <c r="AD418" i="5"/>
  <c r="Z222" i="31"/>
  <c r="Z223" i="31" s="1"/>
  <c r="Z196" i="31"/>
  <c r="L432" i="31"/>
  <c r="N104" i="31"/>
  <c r="O102" i="31"/>
  <c r="X32" i="28"/>
  <c r="N293" i="31"/>
  <c r="O285" i="31"/>
  <c r="AB35" i="28"/>
  <c r="AB40" i="28" s="1"/>
  <c r="AB29" i="28"/>
  <c r="AF146" i="5"/>
  <c r="AE148" i="5"/>
  <c r="AF308" i="5"/>
  <c r="AE310" i="5"/>
  <c r="Y69" i="1"/>
  <c r="N347" i="31"/>
  <c r="N351" i="31" s="1"/>
  <c r="N448" i="31" s="1"/>
  <c r="O339" i="31"/>
  <c r="AA281" i="31"/>
  <c r="Z283" i="31"/>
  <c r="N263" i="31"/>
  <c r="N264" i="31" s="1"/>
  <c r="O264" i="31" s="1"/>
  <c r="O251" i="31"/>
  <c r="N257" i="31"/>
  <c r="N258" i="31" s="1"/>
  <c r="P251" i="31"/>
  <c r="N252" i="31"/>
  <c r="O252" i="31" s="1"/>
  <c r="K27" i="31"/>
  <c r="K456" i="31"/>
  <c r="K457" i="31" s="1"/>
  <c r="Z262" i="31"/>
  <c r="AA260" i="31"/>
  <c r="AA362" i="31"/>
  <c r="Z364" i="31"/>
  <c r="AE256" i="31"/>
  <c r="AF254" i="31"/>
  <c r="R386" i="31"/>
  <c r="Q387" i="31"/>
  <c r="Q401" i="31" s="1"/>
  <c r="Q392" i="31"/>
  <c r="Q393" i="31" s="1"/>
  <c r="Q398" i="31"/>
  <c r="Q399" i="31" s="1"/>
  <c r="Y397" i="31"/>
  <c r="Z395" i="31"/>
  <c r="AA341" i="31"/>
  <c r="Z343" i="31"/>
  <c r="V270" i="5"/>
  <c r="V445" i="5" s="1"/>
  <c r="Z154" i="31"/>
  <c r="AA152" i="31"/>
  <c r="W266" i="5"/>
  <c r="AC94" i="31"/>
  <c r="AD92" i="31"/>
  <c r="N131" i="31"/>
  <c r="N135" i="31" s="1"/>
  <c r="N440" i="31" s="1"/>
  <c r="O129" i="31"/>
  <c r="Z227" i="31"/>
  <c r="Y229" i="31"/>
  <c r="P47" i="31"/>
  <c r="P48" i="31" s="1"/>
  <c r="Q35" i="31"/>
  <c r="P41" i="31"/>
  <c r="P42" i="31" s="1"/>
  <c r="P36" i="31"/>
  <c r="P95" i="31"/>
  <c r="P96" i="31" s="1"/>
  <c r="P101" i="31"/>
  <c r="P102" i="31" s="1"/>
  <c r="Q89" i="31"/>
  <c r="P90" i="31"/>
  <c r="M239" i="31"/>
  <c r="O438" i="31"/>
  <c r="O131" i="31"/>
  <c r="AH179" i="5"/>
  <c r="AG179" i="5"/>
  <c r="AF181" i="5"/>
  <c r="AG181" i="5" s="1"/>
  <c r="AC333" i="5"/>
  <c r="AD332" i="5"/>
  <c r="AC344" i="5"/>
  <c r="AC345" i="5" s="1"/>
  <c r="AC338" i="5"/>
  <c r="AC339" i="5" s="1"/>
  <c r="M31" i="28"/>
  <c r="DS26" i="28"/>
  <c r="M37" i="28"/>
  <c r="N26" i="28"/>
  <c r="AK362" i="5"/>
  <c r="AJ364" i="5"/>
  <c r="AK283" i="5"/>
  <c r="AL281" i="5"/>
  <c r="AF287" i="5"/>
  <c r="AE289" i="5"/>
  <c r="AE291" i="5" s="1"/>
  <c r="AE293" i="5" s="1"/>
  <c r="N357" i="5"/>
  <c r="N331" i="5"/>
  <c r="N333" i="5" s="1"/>
  <c r="N347" i="5" s="1"/>
  <c r="N351" i="5" s="1"/>
  <c r="N448" i="5" s="1"/>
  <c r="AA62" i="31"/>
  <c r="Z63" i="31"/>
  <c r="AF206" i="5"/>
  <c r="AE208" i="5"/>
  <c r="AC428" i="5"/>
  <c r="AD425" i="5"/>
  <c r="AD426" i="5" s="1"/>
  <c r="AD419" i="5"/>
  <c r="AE413" i="5"/>
  <c r="AD414" i="5"/>
  <c r="DQ31" i="28"/>
  <c r="DQ32" i="28" s="1"/>
  <c r="CX32" i="28"/>
  <c r="S330" i="5"/>
  <c r="S304" i="5"/>
  <c r="S306" i="5" s="1"/>
  <c r="S320" i="5" s="1"/>
  <c r="S324" i="5" s="1"/>
  <c r="S447" i="5" s="1"/>
  <c r="T303" i="5"/>
  <c r="S293" i="5"/>
  <c r="N293" i="5"/>
  <c r="T279" i="5"/>
  <c r="Z317" i="31"/>
  <c r="Y318" i="31"/>
  <c r="AA411" i="31"/>
  <c r="Z412" i="31"/>
  <c r="AA330" i="31"/>
  <c r="Z331" i="31"/>
  <c r="AH422" i="5"/>
  <c r="AG422" i="5"/>
  <c r="AF424" i="5"/>
  <c r="AG424" i="5" s="1"/>
  <c r="DP42" i="28"/>
  <c r="AD182" i="5"/>
  <c r="AD183" i="5" s="1"/>
  <c r="AE170" i="5"/>
  <c r="AD176" i="5"/>
  <c r="AD177" i="5" s="1"/>
  <c r="AD171" i="5"/>
  <c r="N270" i="5"/>
  <c r="T266" i="5"/>
  <c r="AG127" i="5"/>
  <c r="X320" i="31"/>
  <c r="AH397" i="5"/>
  <c r="AI395" i="5"/>
  <c r="G457" i="5"/>
  <c r="F6" i="7"/>
  <c r="N444" i="5"/>
  <c r="T243" i="5"/>
  <c r="T444" i="5" s="1"/>
  <c r="DR37" i="28"/>
  <c r="L42" i="28"/>
  <c r="L32" i="28"/>
  <c r="CY31" i="28"/>
  <c r="CX42" i="28"/>
  <c r="CX43" i="28" s="1"/>
  <c r="K43" i="28"/>
  <c r="W224" i="5"/>
  <c r="V225" i="5"/>
  <c r="V236" i="5"/>
  <c r="V237" i="5" s="1"/>
  <c r="V230" i="5"/>
  <c r="V231" i="5" s="1"/>
  <c r="AJ152" i="5"/>
  <c r="AI154" i="5"/>
  <c r="AC44" i="5"/>
  <c r="AC46" i="5" s="1"/>
  <c r="AC19" i="5"/>
  <c r="AD17" i="5"/>
  <c r="N306" i="5"/>
  <c r="AC122" i="5"/>
  <c r="AC128" i="5"/>
  <c r="AC129" i="5" s="1"/>
  <c r="AC117" i="5"/>
  <c r="AD116" i="5"/>
  <c r="AG6" i="5"/>
  <c r="AH60" i="5" s="1"/>
  <c r="AH7" i="5"/>
  <c r="AF7" i="5"/>
  <c r="AF107" i="1"/>
  <c r="AF28" i="7" s="1"/>
  <c r="AG100" i="1"/>
  <c r="AG107" i="1" s="1"/>
  <c r="F451" i="5"/>
  <c r="F452" i="5" s="1"/>
  <c r="F3" i="7" s="1"/>
  <c r="G432" i="5"/>
  <c r="G451" i="5" s="1"/>
  <c r="G452" i="5" s="1"/>
  <c r="AF173" i="5"/>
  <c r="AE175" i="5"/>
  <c r="AA276" i="31"/>
  <c r="Z277" i="31"/>
  <c r="AA357" i="31"/>
  <c r="Z358" i="31"/>
  <c r="AB384" i="31"/>
  <c r="AA385" i="31"/>
  <c r="AC387" i="5"/>
  <c r="AC392" i="5"/>
  <c r="AC393" i="5" s="1"/>
  <c r="AD386" i="5"/>
  <c r="AC398" i="5"/>
  <c r="AC399" i="5" s="1"/>
  <c r="AH389" i="31"/>
  <c r="AG391" i="31"/>
  <c r="AH127" i="5"/>
  <c r="AI125" i="5"/>
  <c r="AI455" i="31"/>
  <c r="AA311" i="31"/>
  <c r="Z312" i="31"/>
  <c r="Y306" i="31"/>
  <c r="Y320" i="31" s="1"/>
  <c r="Z305" i="31"/>
  <c r="S443" i="5"/>
  <c r="T216" i="5"/>
  <c r="T443" i="5" s="1"/>
  <c r="U76" i="1"/>
  <c r="U26" i="7" s="1"/>
  <c r="DE26" i="7"/>
  <c r="DE27" i="7"/>
  <c r="W63" i="1"/>
  <c r="V65" i="1"/>
  <c r="V70" i="1"/>
  <c r="V72" i="1" s="1"/>
  <c r="T27" i="7"/>
  <c r="U89" i="1"/>
  <c r="T93" i="1"/>
  <c r="T190" i="1"/>
  <c r="T14" i="11" s="1"/>
  <c r="S14" i="11"/>
  <c r="T20" i="7"/>
  <c r="DW16" i="7"/>
  <c r="DD36" i="7"/>
  <c r="T37" i="1"/>
  <c r="S21" i="7"/>
  <c r="T21" i="7" s="1"/>
  <c r="DV20" i="7"/>
  <c r="DE20" i="7"/>
  <c r="DV16" i="7"/>
  <c r="DC36" i="7"/>
  <c r="AH284" i="5"/>
  <c r="AH285" i="5" s="1"/>
  <c r="AH290" i="5"/>
  <c r="AH279" i="5"/>
  <c r="P139" i="1"/>
  <c r="Q20" i="16"/>
  <c r="Q23" i="16"/>
  <c r="P142" i="1"/>
  <c r="CY46" i="7"/>
  <c r="DR46" i="7" s="1"/>
  <c r="O141" i="1"/>
  <c r="O146" i="1" s="1"/>
  <c r="P141" i="1"/>
  <c r="X317" i="5"/>
  <c r="W318" i="5"/>
  <c r="W320" i="5" s="1"/>
  <c r="W324" i="5" s="1"/>
  <c r="W447" i="5" s="1"/>
  <c r="X117" i="1"/>
  <c r="X119" i="1" s="1"/>
  <c r="X31" i="7" s="1"/>
  <c r="W168" i="1"/>
  <c r="AG195" i="1"/>
  <c r="AI143" i="1"/>
  <c r="AJ188" i="1"/>
  <c r="U35" i="1"/>
  <c r="U10" i="1"/>
  <c r="U16" i="7" s="1"/>
  <c r="V8" i="1"/>
  <c r="AI140" i="1"/>
  <c r="AN20" i="1"/>
  <c r="AN18" i="7" s="1"/>
  <c r="AO18" i="1"/>
  <c r="AO20" i="1" s="1"/>
  <c r="AO18" i="7" s="1"/>
  <c r="AK15" i="1"/>
  <c r="AK17" i="7" s="1"/>
  <c r="AL13" i="1"/>
  <c r="AG91" i="1"/>
  <c r="AE209" i="5"/>
  <c r="AE210" i="5" s="1"/>
  <c r="AE203" i="5"/>
  <c r="AF197" i="5"/>
  <c r="AH197" i="5" s="1"/>
  <c r="AB123" i="5"/>
  <c r="X41" i="5"/>
  <c r="Y35" i="5"/>
  <c r="X47" i="5"/>
  <c r="X48" i="5" s="1"/>
  <c r="X36" i="5"/>
  <c r="W27" i="5"/>
  <c r="W436" i="5" s="1"/>
  <c r="X13" i="5"/>
  <c r="X15" i="5" s="1"/>
  <c r="X38" i="5"/>
  <c r="X40" i="5" s="1"/>
  <c r="AJ455" i="5"/>
  <c r="O324" i="5"/>
  <c r="AE200" i="5"/>
  <c r="AD202" i="5"/>
  <c r="AD204" i="5" s="1"/>
  <c r="AD212" i="5" s="1"/>
  <c r="AF256" i="5"/>
  <c r="AG254" i="5"/>
  <c r="AC104" i="5"/>
  <c r="AC182" i="5"/>
  <c r="AC183" i="5" s="1"/>
  <c r="AC185" i="5" s="1"/>
  <c r="AB183" i="5"/>
  <c r="AB185" i="5" s="1"/>
  <c r="AG67" i="5"/>
  <c r="U438" i="5"/>
  <c r="T438" i="5"/>
  <c r="O360" i="5"/>
  <c r="AC374" i="5"/>
  <c r="AE227" i="5"/>
  <c r="AD229" i="5"/>
  <c r="P347" i="5"/>
  <c r="W77" i="5"/>
  <c r="AG233" i="5"/>
  <c r="AF235" i="5"/>
  <c r="AF290" i="5"/>
  <c r="AG278" i="5"/>
  <c r="AF284" i="5"/>
  <c r="AF285" i="5" s="1"/>
  <c r="AG285" i="5" s="1"/>
  <c r="O347" i="5"/>
  <c r="AC121" i="5"/>
  <c r="AC123" i="5" s="1"/>
  <c r="AC131" i="5" s="1"/>
  <c r="AD119" i="5"/>
  <c r="U27" i="5"/>
  <c r="U456" i="5"/>
  <c r="U457" i="5" s="1"/>
  <c r="W42" i="5"/>
  <c r="W50" i="5" s="1"/>
  <c r="W54" i="5" s="1"/>
  <c r="W437" i="5" s="1"/>
  <c r="AG304" i="5"/>
  <c r="AJ314" i="5"/>
  <c r="AI316" i="5"/>
  <c r="AD101" i="5"/>
  <c r="AD102" i="5" s="1"/>
  <c r="AD95" i="5"/>
  <c r="AD96" i="5" s="1"/>
  <c r="AD90" i="5"/>
  <c r="AE89" i="5"/>
  <c r="AF260" i="5"/>
  <c r="AH260" i="5" s="1"/>
  <c r="AH262" i="5" s="1"/>
  <c r="AE262" i="5"/>
  <c r="AA185" i="5"/>
  <c r="O411" i="5"/>
  <c r="O412" i="5" s="1"/>
  <c r="O385" i="5"/>
  <c r="AD371" i="5"/>
  <c r="AD372" i="5" s="1"/>
  <c r="AE359" i="5"/>
  <c r="AD365" i="5"/>
  <c r="AD366" i="5" s="1"/>
  <c r="AD360" i="5"/>
  <c r="AF277" i="5"/>
  <c r="AG276" i="5"/>
  <c r="O446" i="5"/>
  <c r="P358" i="5"/>
  <c r="P360" i="5" s="1"/>
  <c r="P374" i="5" s="1"/>
  <c r="P378" i="5" s="1"/>
  <c r="P449" i="5" s="1"/>
  <c r="P384" i="5"/>
  <c r="X63" i="5"/>
  <c r="X74" i="5"/>
  <c r="X75" i="5" s="1"/>
  <c r="Y62" i="5"/>
  <c r="X68" i="5"/>
  <c r="X69" i="5" s="1"/>
  <c r="AG235" i="5"/>
  <c r="AF94" i="5"/>
  <c r="AG92" i="5"/>
  <c r="T436" i="5"/>
  <c r="AG98" i="5"/>
  <c r="AF100" i="5"/>
  <c r="AI335" i="5"/>
  <c r="AD305" i="5"/>
  <c r="AC306" i="5"/>
  <c r="U437" i="5"/>
  <c r="AG17" i="7"/>
  <c r="DG17" i="7"/>
  <c r="DZ17" i="7" s="1"/>
  <c r="E23" i="3"/>
  <c r="F22" i="3"/>
  <c r="AG169" i="5" l="1"/>
  <c r="Q47" i="31"/>
  <c r="Q48" i="31" s="1"/>
  <c r="Q41" i="31"/>
  <c r="Q42" i="31" s="1"/>
  <c r="R35" i="31"/>
  <c r="Q36" i="31"/>
  <c r="Z229" i="31"/>
  <c r="AA227" i="31"/>
  <c r="Z397" i="31"/>
  <c r="AA395" i="31"/>
  <c r="P257" i="31"/>
  <c r="P258" i="31" s="1"/>
  <c r="P263" i="31"/>
  <c r="P264" i="31" s="1"/>
  <c r="Q251" i="31"/>
  <c r="P252" i="31"/>
  <c r="Z289" i="31"/>
  <c r="AA287" i="31"/>
  <c r="DA41" i="28"/>
  <c r="DB41" i="28" s="1"/>
  <c r="DT41" i="28"/>
  <c r="DU41" i="28" s="1"/>
  <c r="Z30" i="28"/>
  <c r="AA25" i="28"/>
  <c r="Z36" i="28"/>
  <c r="Z41" i="28" s="1"/>
  <c r="N239" i="31"/>
  <c r="N243" i="31" s="1"/>
  <c r="N444" i="31" s="1"/>
  <c r="O225" i="31"/>
  <c r="AE206" i="31"/>
  <c r="AD208" i="31"/>
  <c r="AF341" i="5"/>
  <c r="AE343" i="5"/>
  <c r="AE196" i="5"/>
  <c r="AE198" i="5" s="1"/>
  <c r="AE222" i="5"/>
  <c r="AE223" i="5" s="1"/>
  <c r="AC181" i="31"/>
  <c r="AD179" i="31"/>
  <c r="O8" i="31"/>
  <c r="N9" i="31"/>
  <c r="N14" i="31"/>
  <c r="N15" i="31" s="1"/>
  <c r="N20" i="31"/>
  <c r="N21" i="31" s="1"/>
  <c r="O21" i="31" s="1"/>
  <c r="P8" i="31"/>
  <c r="N385" i="31"/>
  <c r="N411" i="31"/>
  <c r="O384" i="31"/>
  <c r="AB416" i="31"/>
  <c r="AC416" i="31"/>
  <c r="AA418" i="31"/>
  <c r="AB418" i="31" s="1"/>
  <c r="Y20" i="5"/>
  <c r="Y21" i="5" s="1"/>
  <c r="Z8" i="5"/>
  <c r="Y14" i="5"/>
  <c r="Y9" i="5"/>
  <c r="T304" i="5"/>
  <c r="AB169" i="31"/>
  <c r="P104" i="31"/>
  <c r="P50" i="31"/>
  <c r="O440" i="31"/>
  <c r="AA154" i="31"/>
  <c r="AB154" i="31" s="1"/>
  <c r="AB152" i="31"/>
  <c r="AC152" i="31"/>
  <c r="AC341" i="31"/>
  <c r="AB341" i="31"/>
  <c r="AA343" i="31"/>
  <c r="AB343" i="31" s="1"/>
  <c r="AG254" i="31"/>
  <c r="AF256" i="31"/>
  <c r="AA364" i="31"/>
  <c r="AB364" i="31" s="1"/>
  <c r="AB362" i="31"/>
  <c r="AC362" i="31"/>
  <c r="K436" i="31"/>
  <c r="O263" i="31"/>
  <c r="O257" i="31"/>
  <c r="AC29" i="28"/>
  <c r="AH412" i="31"/>
  <c r="AG412" i="31"/>
  <c r="P225" i="31"/>
  <c r="P230" i="31"/>
  <c r="P231" i="31" s="1"/>
  <c r="Q224" i="31"/>
  <c r="P236" i="31"/>
  <c r="P237" i="31" s="1"/>
  <c r="Z251" i="5"/>
  <c r="Y257" i="5"/>
  <c r="Y258" i="5" s="1"/>
  <c r="Y252" i="5"/>
  <c r="Y263" i="5"/>
  <c r="Y264" i="5" s="1"/>
  <c r="P197" i="31"/>
  <c r="N203" i="31"/>
  <c r="N204" i="31" s="1"/>
  <c r="O204" i="31" s="1"/>
  <c r="O197" i="31"/>
  <c r="N209" i="31"/>
  <c r="N210" i="31" s="1"/>
  <c r="O210" i="31" s="1"/>
  <c r="N198" i="31"/>
  <c r="O41" i="28"/>
  <c r="M270" i="31"/>
  <c r="AF391" i="5"/>
  <c r="AG391" i="5" s="1"/>
  <c r="AH389" i="5"/>
  <c r="AG389" i="5"/>
  <c r="AG200" i="31"/>
  <c r="AF202" i="31"/>
  <c r="AB195" i="31"/>
  <c r="AA196" i="31"/>
  <c r="AA222" i="31"/>
  <c r="AC196" i="31"/>
  <c r="K449" i="31"/>
  <c r="O351" i="31"/>
  <c r="O448" i="31" s="1"/>
  <c r="Y69" i="31"/>
  <c r="DT30" i="28"/>
  <c r="DU30" i="28" s="1"/>
  <c r="DB30" i="28"/>
  <c r="AC310" i="31"/>
  <c r="AD308" i="31"/>
  <c r="AD420" i="5"/>
  <c r="Z77" i="31"/>
  <c r="Q101" i="31"/>
  <c r="Q102" i="31" s="1"/>
  <c r="Q90" i="31"/>
  <c r="Q95" i="31"/>
  <c r="Q96" i="31" s="1"/>
  <c r="R89" i="31"/>
  <c r="AE92" i="31"/>
  <c r="AD94" i="31"/>
  <c r="AA262" i="31"/>
  <c r="AC260" i="31"/>
  <c r="AB260" i="31"/>
  <c r="AG308" i="5"/>
  <c r="AF310" i="5"/>
  <c r="AG310" i="5" s="1"/>
  <c r="AH308" i="5"/>
  <c r="N108" i="31"/>
  <c r="O104" i="31"/>
  <c r="L27" i="31"/>
  <c r="L436" i="31" s="1"/>
  <c r="L456" i="31"/>
  <c r="L457" i="31" s="1"/>
  <c r="P359" i="31"/>
  <c r="N365" i="31"/>
  <c r="N366" i="31" s="1"/>
  <c r="O366" i="31" s="1"/>
  <c r="N371" i="31"/>
  <c r="N372" i="31" s="1"/>
  <c r="O372" i="31" s="1"/>
  <c r="O359" i="31"/>
  <c r="P349" i="31"/>
  <c r="P351" i="31" s="1"/>
  <c r="P448" i="31" s="1"/>
  <c r="P241" i="31"/>
  <c r="P187" i="31"/>
  <c r="Q25" i="31"/>
  <c r="P403" i="31"/>
  <c r="P295" i="31"/>
  <c r="P160" i="31"/>
  <c r="P162" i="31" s="1"/>
  <c r="P79" i="31"/>
  <c r="P81" i="31" s="1"/>
  <c r="P438" i="31" s="1"/>
  <c r="P376" i="31"/>
  <c r="P268" i="31"/>
  <c r="P106" i="31"/>
  <c r="P52" i="31"/>
  <c r="P430" i="31"/>
  <c r="P214" i="31"/>
  <c r="P322" i="31"/>
  <c r="P324" i="31" s="1"/>
  <c r="P447" i="31" s="1"/>
  <c r="P133" i="31"/>
  <c r="AE173" i="31"/>
  <c r="AD175" i="31"/>
  <c r="AE337" i="31"/>
  <c r="AF335" i="31"/>
  <c r="AE143" i="5"/>
  <c r="AD144" i="5"/>
  <c r="AD155" i="5"/>
  <c r="AD156" i="5" s="1"/>
  <c r="AD149" i="5"/>
  <c r="AD150" i="5" s="1"/>
  <c r="L442" i="31"/>
  <c r="O347" i="31"/>
  <c r="AA316" i="31"/>
  <c r="AB316" i="31" s="1"/>
  <c r="AB314" i="31"/>
  <c r="AC314" i="31"/>
  <c r="AB311" i="5"/>
  <c r="AA312" i="5"/>
  <c r="P131" i="31"/>
  <c r="P135" i="31" s="1"/>
  <c r="P440" i="31" s="1"/>
  <c r="N324" i="31"/>
  <c r="O320" i="31"/>
  <c r="O50" i="31"/>
  <c r="AH422" i="31"/>
  <c r="AG424" i="31"/>
  <c r="N185" i="31"/>
  <c r="O171" i="31"/>
  <c r="AA11" i="31"/>
  <c r="Z13" i="31"/>
  <c r="Z65" i="31"/>
  <c r="Z67" i="31" s="1"/>
  <c r="Z69" i="31" s="1"/>
  <c r="AC40" i="28"/>
  <c r="AB17" i="31"/>
  <c r="AB71" i="31" s="1"/>
  <c r="AA71" i="31"/>
  <c r="AA73" i="31" s="1"/>
  <c r="AA19" i="31"/>
  <c r="AB19" i="31" s="1"/>
  <c r="W270" i="5"/>
  <c r="W445" i="5" s="1"/>
  <c r="P419" i="31"/>
  <c r="P420" i="31" s="1"/>
  <c r="Q413" i="31"/>
  <c r="P425" i="31"/>
  <c r="P426" i="31" s="1"/>
  <c r="P414" i="31"/>
  <c r="P428" i="31" s="1"/>
  <c r="P432" i="31" s="1"/>
  <c r="P451" i="31" s="1"/>
  <c r="AA100" i="31"/>
  <c r="AB100" i="31" s="1"/>
  <c r="AC98" i="31"/>
  <c r="AB98" i="31"/>
  <c r="AC146" i="31"/>
  <c r="AB146" i="31"/>
  <c r="AA148" i="31"/>
  <c r="AB148" i="31" s="1"/>
  <c r="Q333" i="31"/>
  <c r="Q347" i="31" s="1"/>
  <c r="R332" i="31"/>
  <c r="Q344" i="31"/>
  <c r="Q345" i="31" s="1"/>
  <c r="Q338" i="31"/>
  <c r="Q339" i="31" s="1"/>
  <c r="P297" i="31"/>
  <c r="P446" i="31" s="1"/>
  <c r="AF125" i="31"/>
  <c r="AE127" i="31"/>
  <c r="P405" i="31"/>
  <c r="P450" i="31" s="1"/>
  <c r="M437" i="31"/>
  <c r="O437" i="31" s="1"/>
  <c r="O54" i="31"/>
  <c r="P176" i="31"/>
  <c r="P177" i="31" s="1"/>
  <c r="P171" i="31"/>
  <c r="Q170" i="31"/>
  <c r="O420" i="31"/>
  <c r="AD374" i="5"/>
  <c r="T195" i="1"/>
  <c r="L195" i="1" s="1"/>
  <c r="M243" i="31"/>
  <c r="R387" i="31"/>
  <c r="R392" i="31"/>
  <c r="R393" i="31" s="1"/>
  <c r="R398" i="31"/>
  <c r="R399" i="31" s="1"/>
  <c r="S386" i="31"/>
  <c r="N266" i="31"/>
  <c r="N270" i="31" s="1"/>
  <c r="N445" i="31" s="1"/>
  <c r="O258" i="31"/>
  <c r="AB281" i="31"/>
  <c r="AC281" i="31"/>
  <c r="AA283" i="31"/>
  <c r="AB283" i="31" s="1"/>
  <c r="Z69" i="1"/>
  <c r="AG146" i="5"/>
  <c r="AH146" i="5"/>
  <c r="AF148" i="5"/>
  <c r="N297" i="31"/>
  <c r="O293" i="31"/>
  <c r="L451" i="31"/>
  <c r="AE418" i="5"/>
  <c r="AF416" i="5"/>
  <c r="O230" i="31"/>
  <c r="O236" i="31"/>
  <c r="Q401" i="5"/>
  <c r="Q463" i="5"/>
  <c r="Q465" i="5" s="1"/>
  <c r="Q8" i="7" s="1"/>
  <c r="DB8" i="7" s="1"/>
  <c r="DU8" i="7" s="1"/>
  <c r="AE368" i="31"/>
  <c r="AD370" i="31"/>
  <c r="AH370" i="5"/>
  <c r="AI368" i="5"/>
  <c r="AF169" i="5"/>
  <c r="AG168" i="5"/>
  <c r="AH169" i="5"/>
  <c r="AF195" i="5"/>
  <c r="Q279" i="31"/>
  <c r="Q284" i="31"/>
  <c r="Q285" i="31" s="1"/>
  <c r="R278" i="31"/>
  <c r="Q290" i="31"/>
  <c r="Q291" i="31" s="1"/>
  <c r="T155" i="31"/>
  <c r="T156" i="31" s="1"/>
  <c r="U143" i="31"/>
  <c r="T144" i="31"/>
  <c r="T149" i="31"/>
  <c r="T150" i="31" s="1"/>
  <c r="R385" i="5"/>
  <c r="R387" i="5" s="1"/>
  <c r="R411" i="5"/>
  <c r="R412" i="5" s="1"/>
  <c r="R414" i="5" s="1"/>
  <c r="R428" i="5" s="1"/>
  <c r="R432" i="5" s="1"/>
  <c r="R451" i="5" s="1"/>
  <c r="Q128" i="31"/>
  <c r="Q129" i="31" s="1"/>
  <c r="R116" i="31"/>
  <c r="Q122" i="31"/>
  <c r="Q123" i="31" s="1"/>
  <c r="Q117" i="31"/>
  <c r="Q131" i="31" s="1"/>
  <c r="M23" i="31"/>
  <c r="M463" i="31"/>
  <c r="M465" i="31" s="1"/>
  <c r="N360" i="31"/>
  <c r="O358" i="31"/>
  <c r="X52" i="5"/>
  <c r="X214" i="5"/>
  <c r="X216" i="5" s="1"/>
  <c r="X443" i="5" s="1"/>
  <c r="X241" i="5"/>
  <c r="X430" i="5"/>
  <c r="X432" i="5" s="1"/>
  <c r="X451" i="5" s="1"/>
  <c r="X187" i="5"/>
  <c r="X189" i="5" s="1"/>
  <c r="X442" i="5" s="1"/>
  <c r="X268" i="5"/>
  <c r="X270" i="5" s="1"/>
  <c r="X445" i="5" s="1"/>
  <c r="X349" i="5"/>
  <c r="X351" i="5" s="1"/>
  <c r="X448" i="5" s="1"/>
  <c r="X79" i="5"/>
  <c r="X322" i="5"/>
  <c r="X295" i="5"/>
  <c r="X297" i="5" s="1"/>
  <c r="X446" i="5" s="1"/>
  <c r="X133" i="5"/>
  <c r="X135" i="5" s="1"/>
  <c r="X440" i="5" s="1"/>
  <c r="X160" i="5"/>
  <c r="X162" i="5" s="1"/>
  <c r="X441" i="5" s="1"/>
  <c r="X376" i="5"/>
  <c r="X378" i="5" s="1"/>
  <c r="X449" i="5" s="1"/>
  <c r="X403" i="5"/>
  <c r="X405" i="5" s="1"/>
  <c r="X450" i="5" s="1"/>
  <c r="X106" i="5"/>
  <c r="X108" i="5" s="1"/>
  <c r="X439" i="5" s="1"/>
  <c r="Y25" i="5"/>
  <c r="O419" i="31"/>
  <c r="O425" i="31"/>
  <c r="AI195" i="1"/>
  <c r="AH195" i="1"/>
  <c r="AJ195" i="1"/>
  <c r="AI194" i="1"/>
  <c r="G194" i="1"/>
  <c r="T194" i="1"/>
  <c r="T206" i="1" s="1"/>
  <c r="T42" i="7" s="1"/>
  <c r="AG194" i="1"/>
  <c r="AD194" i="1" s="1"/>
  <c r="AH194" i="1"/>
  <c r="AD185" i="5"/>
  <c r="AC311" i="31"/>
  <c r="AB311" i="31"/>
  <c r="AA312" i="31"/>
  <c r="AB312" i="31" s="1"/>
  <c r="AJ455" i="31"/>
  <c r="AH391" i="31"/>
  <c r="AI389" i="31"/>
  <c r="AE386" i="5"/>
  <c r="AD392" i="5"/>
  <c r="AD393" i="5" s="1"/>
  <c r="AD387" i="5"/>
  <c r="AD398" i="5"/>
  <c r="AD399" i="5" s="1"/>
  <c r="AC401" i="5"/>
  <c r="AH87" i="5"/>
  <c r="AH61" i="5"/>
  <c r="AI61" i="5"/>
  <c r="AD44" i="5"/>
  <c r="AD46" i="5" s="1"/>
  <c r="AD19" i="5"/>
  <c r="AE17" i="5"/>
  <c r="AJ154" i="5"/>
  <c r="AK152" i="5"/>
  <c r="W236" i="5"/>
  <c r="W237" i="5" s="1"/>
  <c r="W230" i="5"/>
  <c r="W231" i="5" s="1"/>
  <c r="X224" i="5"/>
  <c r="W225" i="5"/>
  <c r="DQ42" i="28"/>
  <c r="DQ43" i="28" s="1"/>
  <c r="DR31" i="28"/>
  <c r="DR32" i="28" s="1"/>
  <c r="CY32" i="28"/>
  <c r="DR42" i="28"/>
  <c r="DR43" i="28" s="1"/>
  <c r="CY42" i="28"/>
  <c r="CY43" i="28" s="1"/>
  <c r="L43" i="28"/>
  <c r="F10" i="7"/>
  <c r="F12" i="7" s="1"/>
  <c r="G6" i="7"/>
  <c r="AJ395" i="5"/>
  <c r="AI397" i="5"/>
  <c r="AE176" i="5"/>
  <c r="AE177" i="5" s="1"/>
  <c r="AE182" i="5"/>
  <c r="AE183" i="5" s="1"/>
  <c r="AF170" i="5"/>
  <c r="AE171" i="5"/>
  <c r="DP43" i="28"/>
  <c r="AB330" i="31"/>
  <c r="AA331" i="31"/>
  <c r="AE419" i="5"/>
  <c r="AE420" i="5" s="1"/>
  <c r="AE425" i="5"/>
  <c r="AE426" i="5" s="1"/>
  <c r="AF413" i="5"/>
  <c r="AE414" i="5"/>
  <c r="N358" i="5"/>
  <c r="N360" i="5" s="1"/>
  <c r="N374" i="5" s="1"/>
  <c r="N378" i="5" s="1"/>
  <c r="N449" i="5" s="1"/>
  <c r="N384" i="5"/>
  <c r="AL362" i="5"/>
  <c r="AK364" i="5"/>
  <c r="N37" i="28"/>
  <c r="DT26" i="28"/>
  <c r="DU26" i="28" s="1"/>
  <c r="N31" i="28"/>
  <c r="AC347" i="5"/>
  <c r="AD344" i="5"/>
  <c r="AD345" i="5" s="1"/>
  <c r="AD338" i="5"/>
  <c r="AD339" i="5" s="1"/>
  <c r="AD333" i="5"/>
  <c r="AE332" i="5"/>
  <c r="AH181" i="5"/>
  <c r="AI179" i="5"/>
  <c r="AH203" i="5"/>
  <c r="AH209" i="5"/>
  <c r="Z306" i="31"/>
  <c r="AA305" i="31"/>
  <c r="AJ125" i="5"/>
  <c r="AI127" i="5"/>
  <c r="AB385" i="31"/>
  <c r="AB357" i="31"/>
  <c r="AA358" i="31"/>
  <c r="AB276" i="31"/>
  <c r="AC277" i="31"/>
  <c r="AA277" i="31"/>
  <c r="AH173" i="5"/>
  <c r="AF175" i="5"/>
  <c r="AG173" i="5"/>
  <c r="G3" i="7"/>
  <c r="F50" i="7"/>
  <c r="F94" i="1"/>
  <c r="F44" i="1"/>
  <c r="F38" i="1"/>
  <c r="F174" i="1"/>
  <c r="F130" i="1"/>
  <c r="F122" i="1"/>
  <c r="F111" i="1"/>
  <c r="F50" i="1"/>
  <c r="F37" i="7"/>
  <c r="F40" i="7"/>
  <c r="F47" i="1"/>
  <c r="F41" i="1"/>
  <c r="F13" i="7"/>
  <c r="F133" i="1"/>
  <c r="F125" i="1"/>
  <c r="F114" i="1"/>
  <c r="F77" i="1"/>
  <c r="AD122" i="5"/>
  <c r="AE116" i="5"/>
  <c r="AD128" i="5"/>
  <c r="AD129" i="5" s="1"/>
  <c r="AD117" i="5"/>
  <c r="N320" i="5"/>
  <c r="T306" i="5"/>
  <c r="V239" i="5"/>
  <c r="V463" i="5"/>
  <c r="V465" i="5" s="1"/>
  <c r="V8" i="7" s="1"/>
  <c r="N445" i="5"/>
  <c r="T270" i="5"/>
  <c r="T445" i="5" s="1"/>
  <c r="AH424" i="5"/>
  <c r="AI422" i="5"/>
  <c r="AG7" i="5"/>
  <c r="AB411" i="31"/>
  <c r="AA412" i="31"/>
  <c r="AA317" i="31"/>
  <c r="Z318" i="31"/>
  <c r="N297" i="5"/>
  <c r="T293" i="5"/>
  <c r="S297" i="5"/>
  <c r="S446" i="5" s="1"/>
  <c r="S357" i="5"/>
  <c r="S331" i="5"/>
  <c r="T330" i="5"/>
  <c r="AD428" i="5"/>
  <c r="AH206" i="5"/>
  <c r="AG206" i="5"/>
  <c r="AF208" i="5"/>
  <c r="AG208" i="5" s="1"/>
  <c r="AA63" i="31"/>
  <c r="AC62" i="31"/>
  <c r="AB62" i="31"/>
  <c r="AH287" i="5"/>
  <c r="AF289" i="5"/>
  <c r="AG289" i="5" s="1"/>
  <c r="AG287" i="5"/>
  <c r="AM281" i="5"/>
  <c r="AL283" i="5"/>
  <c r="M42" i="28"/>
  <c r="DS37" i="28"/>
  <c r="CZ31" i="28"/>
  <c r="M32" i="28"/>
  <c r="V76" i="1"/>
  <c r="V26" i="7" s="1"/>
  <c r="X63" i="1"/>
  <c r="W65" i="1"/>
  <c r="W70" i="1"/>
  <c r="W72" i="1" s="1"/>
  <c r="V89" i="1"/>
  <c r="U93" i="1"/>
  <c r="U27" i="7" s="1"/>
  <c r="U178" i="1" s="1"/>
  <c r="U179" i="1" s="1"/>
  <c r="B36" i="32"/>
  <c r="S36" i="7"/>
  <c r="DV36" i="7"/>
  <c r="DX20" i="7"/>
  <c r="DX16" i="7"/>
  <c r="DW36" i="7"/>
  <c r="U6" i="7"/>
  <c r="U10" i="7" s="1"/>
  <c r="O11" i="11"/>
  <c r="O46" i="7"/>
  <c r="P144" i="1"/>
  <c r="P146" i="1" s="1"/>
  <c r="R20" i="16"/>
  <c r="Q139" i="1"/>
  <c r="Q141" i="1" s="1"/>
  <c r="R23" i="16"/>
  <c r="Q142" i="1"/>
  <c r="Q144" i="1" s="1"/>
  <c r="Q146" i="1" s="1"/>
  <c r="X318" i="5"/>
  <c r="X320" i="5" s="1"/>
  <c r="Y317" i="5"/>
  <c r="AD104" i="5"/>
  <c r="Y117" i="1"/>
  <c r="Y119" i="1" s="1"/>
  <c r="Y31" i="7" s="1"/>
  <c r="X168" i="1"/>
  <c r="AL15" i="1"/>
  <c r="AL17" i="7" s="1"/>
  <c r="AM13" i="1"/>
  <c r="AJ140" i="1"/>
  <c r="V35" i="1"/>
  <c r="W8" i="1"/>
  <c r="V10" i="1"/>
  <c r="U189" i="1"/>
  <c r="U190" i="1" s="1"/>
  <c r="U14" i="11" s="1"/>
  <c r="U37" i="1"/>
  <c r="U21" i="7" s="1"/>
  <c r="AK188" i="1"/>
  <c r="AJ143" i="1"/>
  <c r="F194" i="1"/>
  <c r="F206" i="1" s="1"/>
  <c r="D194" i="1"/>
  <c r="D206" i="1" s="1"/>
  <c r="D42" i="7" s="1"/>
  <c r="E194" i="1"/>
  <c r="E206" i="1" s="1"/>
  <c r="E42" i="7" s="1"/>
  <c r="C194" i="1"/>
  <c r="AF194" i="1"/>
  <c r="X194" i="1"/>
  <c r="N194" i="1"/>
  <c r="AC194" i="1"/>
  <c r="U194" i="1"/>
  <c r="M194" i="1"/>
  <c r="AH91" i="1"/>
  <c r="U28" i="1"/>
  <c r="U32" i="1" s="1"/>
  <c r="U20" i="7" s="1"/>
  <c r="AF195" i="1"/>
  <c r="AD195" i="1"/>
  <c r="AB195" i="1"/>
  <c r="Z195" i="1"/>
  <c r="X195" i="1"/>
  <c r="V195" i="1"/>
  <c r="AE195" i="1"/>
  <c r="AC195" i="1"/>
  <c r="AA195" i="1"/>
  <c r="Y195" i="1"/>
  <c r="W195" i="1"/>
  <c r="U195" i="1"/>
  <c r="N195" i="1"/>
  <c r="M195" i="1"/>
  <c r="AG100" i="5"/>
  <c r="AI92" i="5"/>
  <c r="AG94" i="5"/>
  <c r="Y74" i="5"/>
  <c r="Y75" i="5" s="1"/>
  <c r="Z62" i="5"/>
  <c r="Y68" i="5"/>
  <c r="Y69" i="5" s="1"/>
  <c r="Y63" i="5"/>
  <c r="X77" i="5"/>
  <c r="X81" i="5" s="1"/>
  <c r="X438" i="5" s="1"/>
  <c r="P411" i="5"/>
  <c r="P412" i="5" s="1"/>
  <c r="P414" i="5" s="1"/>
  <c r="P428" i="5" s="1"/>
  <c r="P432" i="5" s="1"/>
  <c r="P451" i="5" s="1"/>
  <c r="P385" i="5"/>
  <c r="P387" i="5" s="1"/>
  <c r="P401" i="5" s="1"/>
  <c r="P405" i="5" s="1"/>
  <c r="P450" i="5" s="1"/>
  <c r="AF279" i="5"/>
  <c r="AG277" i="5"/>
  <c r="O414" i="5"/>
  <c r="AE101" i="5"/>
  <c r="AE102" i="5" s="1"/>
  <c r="AE95" i="5"/>
  <c r="AE96" i="5" s="1"/>
  <c r="AF89" i="5"/>
  <c r="AH89" i="5" s="1"/>
  <c r="AE90" i="5"/>
  <c r="AD121" i="5"/>
  <c r="AE119" i="5"/>
  <c r="AI233" i="5"/>
  <c r="P351" i="5"/>
  <c r="P448" i="5" s="1"/>
  <c r="AF227" i="5"/>
  <c r="AH227" i="5" s="1"/>
  <c r="AH229" i="5" s="1"/>
  <c r="AE229" i="5"/>
  <c r="O374" i="5"/>
  <c r="AG256" i="5"/>
  <c r="X42" i="5"/>
  <c r="X50" i="5" s="1"/>
  <c r="X54" i="5" s="1"/>
  <c r="X23" i="5"/>
  <c r="Z35" i="5"/>
  <c r="Y41" i="5"/>
  <c r="Y47" i="5"/>
  <c r="Y48" i="5" s="1"/>
  <c r="Y36" i="5"/>
  <c r="AB131" i="5"/>
  <c r="AE305" i="5"/>
  <c r="AD306" i="5"/>
  <c r="AJ335" i="5"/>
  <c r="AI337" i="5"/>
  <c r="AI98" i="5"/>
  <c r="AF359" i="5"/>
  <c r="AH359" i="5" s="1"/>
  <c r="AE371" i="5"/>
  <c r="AE372" i="5" s="1"/>
  <c r="AE365" i="5"/>
  <c r="AE366" i="5" s="1"/>
  <c r="AE360" i="5"/>
  <c r="O387" i="5"/>
  <c r="AF262" i="5"/>
  <c r="AG260" i="5"/>
  <c r="AJ316" i="5"/>
  <c r="AK314" i="5"/>
  <c r="U436" i="5"/>
  <c r="O351" i="5"/>
  <c r="AI278" i="5"/>
  <c r="AG290" i="5"/>
  <c r="AG284" i="5"/>
  <c r="W81" i="5"/>
  <c r="AI254" i="5"/>
  <c r="AE202" i="5"/>
  <c r="AE204" i="5" s="1"/>
  <c r="AE212" i="5" s="1"/>
  <c r="AF200" i="5"/>
  <c r="AH200" i="5" s="1"/>
  <c r="AH202" i="5" s="1"/>
  <c r="AH204" i="5" s="1"/>
  <c r="O447" i="5"/>
  <c r="AK455" i="5"/>
  <c r="Y38" i="5"/>
  <c r="Y40" i="5" s="1"/>
  <c r="Y13" i="5"/>
  <c r="AG197" i="5"/>
  <c r="AF203" i="5"/>
  <c r="AF209" i="5"/>
  <c r="DH17" i="7"/>
  <c r="EA17" i="7" s="1"/>
  <c r="E24" i="3"/>
  <c r="F24" i="3" s="1"/>
  <c r="F23" i="3"/>
  <c r="AG148" i="5" l="1"/>
  <c r="AA69" i="1"/>
  <c r="Q176" i="31"/>
  <c r="Q177" i="31" s="1"/>
  <c r="R170" i="31"/>
  <c r="Q171" i="31"/>
  <c r="Q185" i="31" s="1"/>
  <c r="Q189" i="31" s="1"/>
  <c r="Q442" i="31" s="1"/>
  <c r="AB262" i="31"/>
  <c r="R101" i="31"/>
  <c r="R102" i="31" s="1"/>
  <c r="S89" i="31"/>
  <c r="R95" i="31"/>
  <c r="R96" i="31" s="1"/>
  <c r="R90" i="31"/>
  <c r="AI389" i="5"/>
  <c r="AH391" i="5"/>
  <c r="P54" i="31"/>
  <c r="O411" i="31"/>
  <c r="N412" i="31"/>
  <c r="O195" i="1"/>
  <c r="H195" i="1"/>
  <c r="P195" i="1"/>
  <c r="I194" i="1"/>
  <c r="I206" i="1" s="1"/>
  <c r="I42" i="7" s="1"/>
  <c r="CT42" i="7" s="1"/>
  <c r="O194" i="1"/>
  <c r="W194" i="1"/>
  <c r="AE194" i="1"/>
  <c r="P194" i="1"/>
  <c r="P206" i="1" s="1"/>
  <c r="P42" i="7" s="1"/>
  <c r="DA42" i="7" s="1"/>
  <c r="DA39" i="7" s="1"/>
  <c r="Z194" i="1"/>
  <c r="AF210" i="5"/>
  <c r="AG210" i="5" s="1"/>
  <c r="O463" i="5"/>
  <c r="O465" i="5" s="1"/>
  <c r="O8" i="7" s="1"/>
  <c r="P456" i="5"/>
  <c r="P457" i="5" s="1"/>
  <c r="AD123" i="5"/>
  <c r="AD131" i="5" s="1"/>
  <c r="I195" i="1"/>
  <c r="Q195" i="1"/>
  <c r="J195" i="1"/>
  <c r="J206" i="1" s="1"/>
  <c r="J42" i="7" s="1"/>
  <c r="R195" i="1"/>
  <c r="H194" i="1"/>
  <c r="Q194" i="1"/>
  <c r="Y194" i="1"/>
  <c r="J194" i="1"/>
  <c r="R194" i="1"/>
  <c r="AB194" i="1"/>
  <c r="X324" i="5"/>
  <c r="X447" i="5" s="1"/>
  <c r="N374" i="31"/>
  <c r="O360" i="31"/>
  <c r="M27" i="31"/>
  <c r="M436" i="31" s="1"/>
  <c r="M456" i="31"/>
  <c r="M457" i="31" s="1"/>
  <c r="S116" i="31"/>
  <c r="R128" i="31"/>
  <c r="R129" i="31" s="1"/>
  <c r="R122" i="31"/>
  <c r="R123" i="31" s="1"/>
  <c r="R117" i="31"/>
  <c r="R131" i="31" s="1"/>
  <c r="AF196" i="5"/>
  <c r="AG195" i="5"/>
  <c r="AF222" i="5"/>
  <c r="AH196" i="5"/>
  <c r="AH198" i="5" s="1"/>
  <c r="AJ368" i="5"/>
  <c r="AI370" i="5"/>
  <c r="AG416" i="5"/>
  <c r="AF418" i="5"/>
  <c r="AG418" i="5" s="1"/>
  <c r="AH416" i="5"/>
  <c r="AD281" i="31"/>
  <c r="AC283" i="31"/>
  <c r="S392" i="31"/>
  <c r="S393" i="31" s="1"/>
  <c r="S387" i="31"/>
  <c r="T386" i="31"/>
  <c r="S398" i="31"/>
  <c r="S399" i="31" s="1"/>
  <c r="O239" i="31"/>
  <c r="R413" i="31"/>
  <c r="Q425" i="31"/>
  <c r="Q426" i="31" s="1"/>
  <c r="Q419" i="31"/>
  <c r="Q420" i="31" s="1"/>
  <c r="Q414" i="31"/>
  <c r="AA75" i="31"/>
  <c r="AB75" i="31" s="1"/>
  <c r="AB73" i="31"/>
  <c r="AB312" i="5"/>
  <c r="AC311" i="5"/>
  <c r="AD158" i="5"/>
  <c r="AF337" i="31"/>
  <c r="AG335" i="31"/>
  <c r="Q403" i="31"/>
  <c r="Q405" i="31" s="1"/>
  <c r="Q450" i="31" s="1"/>
  <c r="Q295" i="31"/>
  <c r="Q187" i="31"/>
  <c r="Q160" i="31"/>
  <c r="Q162" i="31" s="1"/>
  <c r="Q441" i="31" s="1"/>
  <c r="Q349" i="31"/>
  <c r="Q268" i="31"/>
  <c r="Q79" i="31"/>
  <c r="Q81" i="31" s="1"/>
  <c r="Q438" i="31" s="1"/>
  <c r="Q52" i="31"/>
  <c r="Q430" i="31"/>
  <c r="Q322" i="31"/>
  <c r="Q324" i="31" s="1"/>
  <c r="Q447" i="31" s="1"/>
  <c r="Q241" i="31"/>
  <c r="R25" i="31"/>
  <c r="Q106" i="31"/>
  <c r="Q376" i="31"/>
  <c r="Q214" i="31"/>
  <c r="Q133" i="31"/>
  <c r="O371" i="31"/>
  <c r="O365" i="31"/>
  <c r="Q104" i="31"/>
  <c r="Q108" i="31" s="1"/>
  <c r="Q439" i="31" s="1"/>
  <c r="AH200" i="31"/>
  <c r="AG202" i="31"/>
  <c r="O266" i="31"/>
  <c r="K452" i="31"/>
  <c r="AD341" i="31"/>
  <c r="AC343" i="31"/>
  <c r="P108" i="31"/>
  <c r="Z20" i="5"/>
  <c r="Z21" i="5" s="1"/>
  <c r="Z14" i="5"/>
  <c r="AA8" i="5"/>
  <c r="Z9" i="5"/>
  <c r="O9" i="31"/>
  <c r="AE179" i="31"/>
  <c r="AD181" i="31"/>
  <c r="AE208" i="31"/>
  <c r="AF206" i="31"/>
  <c r="AA36" i="28"/>
  <c r="AA41" i="28" s="1"/>
  <c r="AA43" i="28" s="1"/>
  <c r="AA30" i="28"/>
  <c r="AA32" i="28" s="1"/>
  <c r="AB25" i="28"/>
  <c r="AA289" i="31"/>
  <c r="AB289" i="31" s="1"/>
  <c r="AB287" i="31"/>
  <c r="AC287" i="31"/>
  <c r="Q257" i="31"/>
  <c r="Q258" i="31" s="1"/>
  <c r="R251" i="31"/>
  <c r="Q263" i="31"/>
  <c r="Q264" i="31" s="1"/>
  <c r="Q252" i="31"/>
  <c r="R41" i="31"/>
  <c r="R42" i="31" s="1"/>
  <c r="R47" i="31"/>
  <c r="R48" i="31" s="1"/>
  <c r="S35" i="31"/>
  <c r="R36" i="31"/>
  <c r="K195" i="1"/>
  <c r="S195" i="1"/>
  <c r="K194" i="1"/>
  <c r="K206" i="1" s="1"/>
  <c r="K42" i="7" s="1"/>
  <c r="S194" i="1"/>
  <c r="AA194" i="1"/>
  <c r="L194" i="1"/>
  <c r="V194" i="1"/>
  <c r="T158" i="31"/>
  <c r="R290" i="31"/>
  <c r="R291" i="31" s="1"/>
  <c r="S278" i="31"/>
  <c r="R284" i="31"/>
  <c r="R285" i="31" s="1"/>
  <c r="R279" i="31"/>
  <c r="Q405" i="5"/>
  <c r="Q450" i="5" s="1"/>
  <c r="Q452" i="5" s="1"/>
  <c r="Q3" i="7" s="1"/>
  <c r="Q456" i="5"/>
  <c r="Q457" i="5" s="1"/>
  <c r="N446" i="31"/>
  <c r="O297" i="31"/>
  <c r="O446" i="31" s="1"/>
  <c r="M444" i="31"/>
  <c r="O243" i="31"/>
  <c r="O444" i="31" s="1"/>
  <c r="AG125" i="31"/>
  <c r="AF127" i="31"/>
  <c r="R344" i="31"/>
  <c r="R345" i="31" s="1"/>
  <c r="S332" i="31"/>
  <c r="R333" i="31"/>
  <c r="R338" i="31"/>
  <c r="R339" i="31" s="1"/>
  <c r="AC148" i="31"/>
  <c r="AD146" i="31"/>
  <c r="AB11" i="31"/>
  <c r="AB65" i="31" s="1"/>
  <c r="AA65" i="31"/>
  <c r="AA67" i="31" s="1"/>
  <c r="AA13" i="31"/>
  <c r="AB13" i="31" s="1"/>
  <c r="AI422" i="31"/>
  <c r="AH424" i="31"/>
  <c r="N447" i="31"/>
  <c r="O324" i="31"/>
  <c r="O447" i="31" s="1"/>
  <c r="AC316" i="31"/>
  <c r="AD314" i="31"/>
  <c r="P441" i="31"/>
  <c r="L452" i="31"/>
  <c r="AI308" i="5"/>
  <c r="AH310" i="5"/>
  <c r="AC262" i="31"/>
  <c r="AD260" i="31"/>
  <c r="AE94" i="31"/>
  <c r="AF92" i="31"/>
  <c r="AD310" i="31"/>
  <c r="AE308" i="31"/>
  <c r="Y77" i="31"/>
  <c r="M445" i="31"/>
  <c r="O270" i="31"/>
  <c r="O445" i="31" s="1"/>
  <c r="O203" i="31"/>
  <c r="O209" i="31"/>
  <c r="Y266" i="5"/>
  <c r="Q230" i="31"/>
  <c r="Q231" i="31" s="1"/>
  <c r="Q236" i="31"/>
  <c r="Q237" i="31" s="1"/>
  <c r="Q225" i="31"/>
  <c r="Q239" i="31" s="1"/>
  <c r="R224" i="31"/>
  <c r="AD362" i="31"/>
  <c r="AC364" i="31"/>
  <c r="AH254" i="31"/>
  <c r="AG256" i="31"/>
  <c r="AD152" i="31"/>
  <c r="AC154" i="31"/>
  <c r="P20" i="31"/>
  <c r="P21" i="31" s="1"/>
  <c r="P9" i="31"/>
  <c r="P14" i="31"/>
  <c r="P15" i="31" s="1"/>
  <c r="Q8" i="31"/>
  <c r="O20" i="31"/>
  <c r="O14" i="31"/>
  <c r="Z32" i="28"/>
  <c r="AA229" i="31"/>
  <c r="AB229" i="31" s="1"/>
  <c r="AB227" i="31"/>
  <c r="AC227" i="31"/>
  <c r="Q135" i="31"/>
  <c r="Q440" i="31" s="1"/>
  <c r="U149" i="31"/>
  <c r="U150" i="31" s="1"/>
  <c r="U155" i="31"/>
  <c r="U156" i="31" s="1"/>
  <c r="V143" i="31"/>
  <c r="U144" i="31"/>
  <c r="U158" i="31" s="1"/>
  <c r="Q351" i="31"/>
  <c r="Q448" i="31" s="1"/>
  <c r="AC223" i="31"/>
  <c r="AB222" i="31"/>
  <c r="AC330" i="31" s="1"/>
  <c r="AA223" i="31"/>
  <c r="AF343" i="5"/>
  <c r="AG343" i="5" s="1"/>
  <c r="AG341" i="5"/>
  <c r="AH341" i="5"/>
  <c r="Y214" i="5"/>
  <c r="Y216" i="5" s="1"/>
  <c r="Y443" i="5" s="1"/>
  <c r="Y52" i="5"/>
  <c r="Y403" i="5"/>
  <c r="Y405" i="5" s="1"/>
  <c r="Y450" i="5" s="1"/>
  <c r="Y79" i="5"/>
  <c r="Y430" i="5"/>
  <c r="Y432" i="5" s="1"/>
  <c r="Y451" i="5" s="1"/>
  <c r="Y133" i="5"/>
  <c r="Y135" i="5" s="1"/>
  <c r="Y440" i="5" s="1"/>
  <c r="Y322" i="5"/>
  <c r="Y106" i="5"/>
  <c r="Y108" i="5" s="1"/>
  <c r="Y439" i="5" s="1"/>
  <c r="Y268" i="5"/>
  <c r="Y270" i="5" s="1"/>
  <c r="Y445" i="5" s="1"/>
  <c r="Y187" i="5"/>
  <c r="Y189" i="5" s="1"/>
  <c r="Y442" i="5" s="1"/>
  <c r="Y160" i="5"/>
  <c r="Y162" i="5" s="1"/>
  <c r="Y441" i="5" s="1"/>
  <c r="Y376" i="5"/>
  <c r="Y378" i="5" s="1"/>
  <c r="Y449" i="5" s="1"/>
  <c r="Y295" i="5"/>
  <c r="Y297" i="5" s="1"/>
  <c r="Y446" i="5" s="1"/>
  <c r="Y241" i="5"/>
  <c r="Z25" i="5"/>
  <c r="Y349" i="5"/>
  <c r="Y351" i="5" s="1"/>
  <c r="Y448" i="5" s="1"/>
  <c r="R401" i="5"/>
  <c r="R463" i="5"/>
  <c r="R465" i="5" s="1"/>
  <c r="R8" i="7" s="1"/>
  <c r="DC8" i="7" s="1"/>
  <c r="DV8" i="7" s="1"/>
  <c r="Q293" i="31"/>
  <c r="Q297" i="31" s="1"/>
  <c r="Q446" i="31" s="1"/>
  <c r="AF368" i="31"/>
  <c r="AE370" i="31"/>
  <c r="AH148" i="5"/>
  <c r="AI146" i="5"/>
  <c r="R401" i="31"/>
  <c r="P185" i="31"/>
  <c r="AD98" i="31"/>
  <c r="AC100" i="31"/>
  <c r="N189" i="31"/>
  <c r="O185" i="31"/>
  <c r="AE155" i="5"/>
  <c r="AE156" i="5" s="1"/>
  <c r="AE144" i="5"/>
  <c r="AF143" i="5"/>
  <c r="AE149" i="5"/>
  <c r="AE150" i="5" s="1"/>
  <c r="AE175" i="31"/>
  <c r="AF173" i="31"/>
  <c r="P365" i="31"/>
  <c r="P366" i="31" s="1"/>
  <c r="P360" i="31"/>
  <c r="P374" i="31" s="1"/>
  <c r="P378" i="31" s="1"/>
  <c r="P449" i="31" s="1"/>
  <c r="P371" i="31"/>
  <c r="P372" i="31" s="1"/>
  <c r="Q359" i="31"/>
  <c r="N439" i="31"/>
  <c r="O439" i="31" s="1"/>
  <c r="O108" i="31"/>
  <c r="AB196" i="31"/>
  <c r="N212" i="31"/>
  <c r="O198" i="31"/>
  <c r="P203" i="31"/>
  <c r="P204" i="31" s="1"/>
  <c r="Q197" i="31"/>
  <c r="P209" i="31"/>
  <c r="P210" i="31" s="1"/>
  <c r="P198" i="31"/>
  <c r="Z257" i="5"/>
  <c r="Z258" i="5" s="1"/>
  <c r="Z252" i="5"/>
  <c r="Z263" i="5"/>
  <c r="Z264" i="5" s="1"/>
  <c r="AA251" i="5"/>
  <c r="P239" i="31"/>
  <c r="P243" i="31" s="1"/>
  <c r="P444" i="31" s="1"/>
  <c r="AC418" i="31"/>
  <c r="AD416" i="31"/>
  <c r="N387" i="31"/>
  <c r="O385" i="31"/>
  <c r="N23" i="31"/>
  <c r="O15" i="31"/>
  <c r="Z43" i="28"/>
  <c r="P266" i="31"/>
  <c r="AC395" i="31"/>
  <c r="AB395" i="31"/>
  <c r="AA397" i="31"/>
  <c r="AB397" i="31" s="1"/>
  <c r="Q50" i="31"/>
  <c r="AH365" i="5"/>
  <c r="AH366" i="5" s="1"/>
  <c r="AH371" i="5"/>
  <c r="AH372" i="5" s="1"/>
  <c r="P463" i="5"/>
  <c r="P465" i="5" s="1"/>
  <c r="P8" i="7" s="1"/>
  <c r="DA8" i="7" s="1"/>
  <c r="DT8" i="7" s="1"/>
  <c r="AH289" i="5"/>
  <c r="AH291" i="5" s="1"/>
  <c r="AH293" i="5" s="1"/>
  <c r="AI287" i="5"/>
  <c r="AD62" i="31"/>
  <c r="AC63" i="31"/>
  <c r="AC77" i="31" s="1"/>
  <c r="AH208" i="5"/>
  <c r="AH210" i="5" s="1"/>
  <c r="AI206" i="5"/>
  <c r="S333" i="5"/>
  <c r="T331" i="5"/>
  <c r="N446" i="5"/>
  <c r="T297" i="5"/>
  <c r="T446" i="5" s="1"/>
  <c r="AB317" i="31"/>
  <c r="AC317" i="31"/>
  <c r="AA318" i="31"/>
  <c r="AB318" i="31" s="1"/>
  <c r="N324" i="5"/>
  <c r="T320" i="5"/>
  <c r="AB277" i="31"/>
  <c r="AJ127" i="5"/>
  <c r="AK125" i="5"/>
  <c r="Z320" i="31"/>
  <c r="AD347" i="5"/>
  <c r="DA31" i="28"/>
  <c r="N32" i="28"/>
  <c r="O31" i="28"/>
  <c r="O32" i="28" s="1"/>
  <c r="DT37" i="28"/>
  <c r="DU37" i="28" s="1"/>
  <c r="N42" i="28"/>
  <c r="AL364" i="5"/>
  <c r="AM362" i="5"/>
  <c r="AE428" i="5"/>
  <c r="AB331" i="31"/>
  <c r="AH170" i="5"/>
  <c r="AF182" i="5"/>
  <c r="AF183" i="5" s="1"/>
  <c r="AG183" i="5" s="1"/>
  <c r="AG170" i="5"/>
  <c r="AF176" i="5"/>
  <c r="AF177" i="5" s="1"/>
  <c r="AF171" i="5"/>
  <c r="AG171" i="5" s="1"/>
  <c r="X236" i="5"/>
  <c r="X237" i="5" s="1"/>
  <c r="X230" i="5"/>
  <c r="X231" i="5" s="1"/>
  <c r="X225" i="5"/>
  <c r="Y224" i="5"/>
  <c r="AE44" i="5"/>
  <c r="AE46" i="5" s="1"/>
  <c r="AF17" i="5"/>
  <c r="AE19" i="5"/>
  <c r="AG175" i="5"/>
  <c r="AD401" i="5"/>
  <c r="AF386" i="5"/>
  <c r="AE392" i="5"/>
  <c r="AE393" i="5" s="1"/>
  <c r="AE387" i="5"/>
  <c r="AE398" i="5"/>
  <c r="AE399" i="5" s="1"/>
  <c r="AD311" i="31"/>
  <c r="AC312" i="31"/>
  <c r="AH95" i="5"/>
  <c r="AH96" i="5" s="1"/>
  <c r="AH101" i="5"/>
  <c r="AH102" i="5" s="1"/>
  <c r="DS31" i="28"/>
  <c r="DS32" i="28" s="1"/>
  <c r="CZ32" i="28"/>
  <c r="CZ42" i="28"/>
  <c r="CZ43" i="28" s="1"/>
  <c r="M43" i="28"/>
  <c r="AM283" i="5"/>
  <c r="AN281" i="5"/>
  <c r="AB63" i="31"/>
  <c r="T357" i="5"/>
  <c r="S358" i="5"/>
  <c r="S384" i="5"/>
  <c r="AB412" i="31"/>
  <c r="AJ422" i="5"/>
  <c r="AI424" i="5"/>
  <c r="V243" i="5"/>
  <c r="V444" i="5" s="1"/>
  <c r="V452" i="5" s="1"/>
  <c r="V3" i="7" s="1"/>
  <c r="V456" i="5"/>
  <c r="V457" i="5" s="1"/>
  <c r="AE128" i="5"/>
  <c r="AE129" i="5" s="1"/>
  <c r="AF116" i="5"/>
  <c r="AE122" i="5"/>
  <c r="AE117" i="5"/>
  <c r="F182" i="1"/>
  <c r="F175" i="1"/>
  <c r="F7" i="16" s="1"/>
  <c r="G13" i="7"/>
  <c r="G37" i="7"/>
  <c r="G133" i="1"/>
  <c r="G125" i="1"/>
  <c r="G114" i="1"/>
  <c r="G77" i="1"/>
  <c r="G94" i="1"/>
  <c r="G44" i="1"/>
  <c r="G38" i="1"/>
  <c r="G40" i="7"/>
  <c r="G50" i="7"/>
  <c r="G174" i="1"/>
  <c r="G175" i="1" s="1"/>
  <c r="G130" i="1"/>
  <c r="G122" i="1"/>
  <c r="G111" i="1"/>
  <c r="G50" i="1"/>
  <c r="G47" i="1"/>
  <c r="G41" i="1"/>
  <c r="AH175" i="5"/>
  <c r="AI173" i="5"/>
  <c r="AB358" i="31"/>
  <c r="AB305" i="31"/>
  <c r="AC305" i="31"/>
  <c r="AA306" i="31"/>
  <c r="AF291" i="5"/>
  <c r="AG291" i="5" s="1"/>
  <c r="AI181" i="5"/>
  <c r="AJ179" i="5"/>
  <c r="AF332" i="5"/>
  <c r="AE333" i="5"/>
  <c r="AE338" i="5"/>
  <c r="AE339" i="5" s="1"/>
  <c r="AE344" i="5"/>
  <c r="AE345" i="5" s="1"/>
  <c r="N411" i="5"/>
  <c r="N412" i="5" s="1"/>
  <c r="N385" i="5"/>
  <c r="AF425" i="5"/>
  <c r="AF426" i="5" s="1"/>
  <c r="AG426" i="5" s="1"/>
  <c r="AH413" i="5"/>
  <c r="AF419" i="5"/>
  <c r="AG413" i="5"/>
  <c r="AF414" i="5"/>
  <c r="AE185" i="5"/>
  <c r="AJ397" i="5"/>
  <c r="AK395" i="5"/>
  <c r="W239" i="5"/>
  <c r="W463" i="5"/>
  <c r="W465" i="5" s="1"/>
  <c r="W8" i="7" s="1"/>
  <c r="AK154" i="5"/>
  <c r="AL152" i="5"/>
  <c r="AH114" i="5"/>
  <c r="AH88" i="5"/>
  <c r="AH90" i="5" s="1"/>
  <c r="AH104" i="5" s="1"/>
  <c r="AI88" i="5"/>
  <c r="AI249" i="5"/>
  <c r="AJ389" i="31"/>
  <c r="AJ391" i="31" s="1"/>
  <c r="AI391" i="31"/>
  <c r="U36" i="7"/>
  <c r="W76" i="1"/>
  <c r="W26" i="7" s="1"/>
  <c r="Y63" i="1"/>
  <c r="X65" i="1"/>
  <c r="X70" i="1"/>
  <c r="X72" i="1" s="1"/>
  <c r="W89" i="1"/>
  <c r="V93" i="1"/>
  <c r="V27" i="7" s="1"/>
  <c r="V178" i="1" s="1"/>
  <c r="O206" i="1"/>
  <c r="O42" i="7" s="1"/>
  <c r="S206" i="1"/>
  <c r="S42" i="7" s="1"/>
  <c r="L206" i="1"/>
  <c r="L42" i="7" s="1"/>
  <c r="C206" i="1"/>
  <c r="C42" i="7" s="1"/>
  <c r="V28" i="1"/>
  <c r="V32" i="1" s="1"/>
  <c r="V20" i="7" s="1"/>
  <c r="V16" i="7"/>
  <c r="B16" i="32" s="1"/>
  <c r="H206" i="1"/>
  <c r="H42" i="7" s="1"/>
  <c r="M206" i="1"/>
  <c r="M42" i="7" s="1"/>
  <c r="Q206" i="1"/>
  <c r="Q42" i="7" s="1"/>
  <c r="N206" i="1"/>
  <c r="N42" i="7" s="1"/>
  <c r="R206" i="1"/>
  <c r="R42" i="7" s="1"/>
  <c r="P6" i="7"/>
  <c r="P10" i="7" s="1"/>
  <c r="D5" i="12"/>
  <c r="E5" i="12"/>
  <c r="F42" i="7"/>
  <c r="Q46" i="7"/>
  <c r="Q11" i="11"/>
  <c r="Q12" i="11" s="1"/>
  <c r="S20" i="16"/>
  <c r="R139" i="1"/>
  <c r="P46" i="7"/>
  <c r="P11" i="11"/>
  <c r="P12" i="11" s="1"/>
  <c r="O12" i="11"/>
  <c r="S23" i="16"/>
  <c r="R142" i="1"/>
  <c r="CZ46" i="7"/>
  <c r="DS46" i="7" s="1"/>
  <c r="O49" i="25"/>
  <c r="Y318" i="5"/>
  <c r="Y320" i="5" s="1"/>
  <c r="Y324" i="5" s="1"/>
  <c r="Y447" i="5" s="1"/>
  <c r="Z317" i="5"/>
  <c r="Z117" i="1"/>
  <c r="Z119" i="1" s="1"/>
  <c r="Z31" i="7" s="1"/>
  <c r="Y168" i="1"/>
  <c r="AK143" i="1"/>
  <c r="AL188" i="1"/>
  <c r="W35" i="1"/>
  <c r="W10" i="1"/>
  <c r="W16" i="7" s="1"/>
  <c r="X8" i="1"/>
  <c r="AK140" i="1"/>
  <c r="AM15" i="1"/>
  <c r="AM17" i="7" s="1"/>
  <c r="AN13" i="1"/>
  <c r="AI91" i="1"/>
  <c r="AH28" i="7"/>
  <c r="V189" i="1"/>
  <c r="V190" i="1" s="1"/>
  <c r="V14" i="11" s="1"/>
  <c r="V37" i="1"/>
  <c r="V21" i="7" s="1"/>
  <c r="AI197" i="5"/>
  <c r="AA11" i="5"/>
  <c r="Z13" i="5"/>
  <c r="Z15" i="5" s="1"/>
  <c r="Z23" i="5" s="1"/>
  <c r="Z38" i="5"/>
  <c r="Z40" i="5" s="1"/>
  <c r="AL455" i="5"/>
  <c r="AG200" i="5"/>
  <c r="AF202" i="5"/>
  <c r="U452" i="5"/>
  <c r="U3" i="7" s="1"/>
  <c r="AG262" i="5"/>
  <c r="AE374" i="5"/>
  <c r="AK335" i="5"/>
  <c r="AJ337" i="5"/>
  <c r="AF305" i="5"/>
  <c r="AH305" i="5" s="1"/>
  <c r="AH306" i="5" s="1"/>
  <c r="AE306" i="5"/>
  <c r="AA35" i="5"/>
  <c r="Z41" i="5"/>
  <c r="Z47" i="5"/>
  <c r="Z48" i="5" s="1"/>
  <c r="Z36" i="5"/>
  <c r="X437" i="5"/>
  <c r="AI235" i="5"/>
  <c r="AJ233" i="5"/>
  <c r="AE104" i="5"/>
  <c r="P452" i="5"/>
  <c r="P3" i="7" s="1"/>
  <c r="Y77" i="5"/>
  <c r="Z74" i="5"/>
  <c r="Z75" i="5" s="1"/>
  <c r="Z68" i="5"/>
  <c r="Z69" i="5" s="1"/>
  <c r="AA62" i="5"/>
  <c r="Z63" i="5"/>
  <c r="AJ92" i="5"/>
  <c r="AI94" i="5"/>
  <c r="AG209" i="5"/>
  <c r="AG203" i="5"/>
  <c r="Y15" i="5"/>
  <c r="Y42" i="5"/>
  <c r="AI256" i="5"/>
  <c r="AJ254" i="5"/>
  <c r="W438" i="5"/>
  <c r="AI284" i="5"/>
  <c r="AI285" i="5" s="1"/>
  <c r="AI290" i="5"/>
  <c r="AJ278" i="5"/>
  <c r="O448" i="5"/>
  <c r="AK316" i="5"/>
  <c r="AL314" i="5"/>
  <c r="AI260" i="5"/>
  <c r="O401" i="5"/>
  <c r="AF365" i="5"/>
  <c r="AF366" i="5" s="1"/>
  <c r="AG366" i="5" s="1"/>
  <c r="AG359" i="5"/>
  <c r="AF371" i="5"/>
  <c r="AF372" i="5" s="1"/>
  <c r="AG372" i="5" s="1"/>
  <c r="AF360" i="5"/>
  <c r="AJ98" i="5"/>
  <c r="AI100" i="5"/>
  <c r="Y50" i="5"/>
  <c r="X27" i="5"/>
  <c r="O378" i="5"/>
  <c r="AF229" i="5"/>
  <c r="AG227" i="5"/>
  <c r="AE121" i="5"/>
  <c r="AF119" i="5"/>
  <c r="AH119" i="5" s="1"/>
  <c r="AH121" i="5" s="1"/>
  <c r="AF101" i="5"/>
  <c r="AF102" i="5" s="1"/>
  <c r="AG102" i="5" s="1"/>
  <c r="AF95" i="5"/>
  <c r="AF96" i="5" s="1"/>
  <c r="AG96" i="5" s="1"/>
  <c r="AF90" i="5"/>
  <c r="AG89" i="5"/>
  <c r="O428" i="5"/>
  <c r="AG279" i="5"/>
  <c r="P270" i="31" l="1"/>
  <c r="P212" i="31"/>
  <c r="T35" i="31"/>
  <c r="S41" i="31"/>
  <c r="S42" i="31" s="1"/>
  <c r="S47" i="31"/>
  <c r="S48" i="31" s="1"/>
  <c r="S36" i="31"/>
  <c r="AE181" i="31"/>
  <c r="AF179" i="31"/>
  <c r="AA20" i="5"/>
  <c r="AA21" i="5" s="1"/>
  <c r="AB8" i="5"/>
  <c r="AA9" i="5"/>
  <c r="AA14" i="5"/>
  <c r="AG337" i="31"/>
  <c r="AH335" i="31"/>
  <c r="AF420" i="5"/>
  <c r="AG420" i="5" s="1"/>
  <c r="AH212" i="5"/>
  <c r="AD395" i="31"/>
  <c r="AC397" i="31"/>
  <c r="N401" i="31"/>
  <c r="O387" i="31"/>
  <c r="Z266" i="5"/>
  <c r="Q198" i="31"/>
  <c r="Q209" i="31"/>
  <c r="Q210" i="31" s="1"/>
  <c r="Q203" i="31"/>
  <c r="Q204" i="31" s="1"/>
  <c r="R197" i="31"/>
  <c r="R359" i="31"/>
  <c r="Q365" i="31"/>
  <c r="Q366" i="31" s="1"/>
  <c r="Q371" i="31"/>
  <c r="Q372" i="31" s="1"/>
  <c r="Q360" i="31"/>
  <c r="AF175" i="31"/>
  <c r="AG173" i="31"/>
  <c r="R405" i="31"/>
  <c r="R450" i="31" s="1"/>
  <c r="AG368" i="31"/>
  <c r="AF370" i="31"/>
  <c r="AI341" i="5"/>
  <c r="AH343" i="5"/>
  <c r="AD331" i="31"/>
  <c r="AC357" i="31"/>
  <c r="AC331" i="31"/>
  <c r="AE152" i="31"/>
  <c r="AD154" i="31"/>
  <c r="AD364" i="31"/>
  <c r="AE362" i="31"/>
  <c r="AJ308" i="5"/>
  <c r="AI310" i="5"/>
  <c r="AE314" i="31"/>
  <c r="AD316" i="31"/>
  <c r="R347" i="31"/>
  <c r="R351" i="31" s="1"/>
  <c r="R448" i="31" s="1"/>
  <c r="AG127" i="31"/>
  <c r="AH125" i="31"/>
  <c r="R50" i="31"/>
  <c r="AB36" i="28"/>
  <c r="AB41" i="28" s="1"/>
  <c r="AB43" i="28" s="1"/>
  <c r="AB30" i="28"/>
  <c r="N463" i="31"/>
  <c r="N465" i="31" s="1"/>
  <c r="O465" i="31" s="1"/>
  <c r="AD343" i="31"/>
  <c r="AE341" i="31"/>
  <c r="R419" i="31"/>
  <c r="R420" i="31" s="1"/>
  <c r="S413" i="31"/>
  <c r="R425" i="31"/>
  <c r="R426" i="31" s="1"/>
  <c r="R414" i="31"/>
  <c r="U386" i="31"/>
  <c r="T387" i="31"/>
  <c r="T401" i="31" s="1"/>
  <c r="T398" i="31"/>
  <c r="T399" i="31" s="1"/>
  <c r="T392" i="31"/>
  <c r="T393" i="31" s="1"/>
  <c r="AD283" i="31"/>
  <c r="AE281" i="31"/>
  <c r="R104" i="31"/>
  <c r="N27" i="31"/>
  <c r="O23" i="31"/>
  <c r="AA257" i="5"/>
  <c r="AA258" i="5" s="1"/>
  <c r="AA263" i="5"/>
  <c r="AA264" i="5" s="1"/>
  <c r="AB251" i="5"/>
  <c r="AA252" i="5"/>
  <c r="AE158" i="5"/>
  <c r="AG150" i="5"/>
  <c r="AF293" i="5"/>
  <c r="AE123" i="5"/>
  <c r="Q54" i="31"/>
  <c r="Q437" i="31" s="1"/>
  <c r="AE416" i="31"/>
  <c r="AD418" i="31"/>
  <c r="AD100" i="31"/>
  <c r="AE98" i="31"/>
  <c r="AI148" i="5"/>
  <c r="AJ146" i="5"/>
  <c r="Z79" i="5"/>
  <c r="Z376" i="5"/>
  <c r="Z378" i="5" s="1"/>
  <c r="Z449" i="5" s="1"/>
  <c r="Z322" i="5"/>
  <c r="Z133" i="5"/>
  <c r="Z135" i="5" s="1"/>
  <c r="Z440" i="5" s="1"/>
  <c r="Z403" i="5"/>
  <c r="Z405" i="5" s="1"/>
  <c r="Z450" i="5" s="1"/>
  <c r="Z106" i="5"/>
  <c r="Z108" i="5" s="1"/>
  <c r="Z439" i="5" s="1"/>
  <c r="Z214" i="5"/>
  <c r="Z216" i="5" s="1"/>
  <c r="Z443" i="5" s="1"/>
  <c r="Z52" i="5"/>
  <c r="AA25" i="5"/>
  <c r="Z295" i="5"/>
  <c r="Z297" i="5" s="1"/>
  <c r="Z446" i="5" s="1"/>
  <c r="Z160" i="5"/>
  <c r="Z162" i="5" s="1"/>
  <c r="Z441" i="5" s="1"/>
  <c r="Z241" i="5"/>
  <c r="Z268" i="5"/>
  <c r="Z270" i="5" s="1"/>
  <c r="Z445" i="5" s="1"/>
  <c r="Z187" i="5"/>
  <c r="Z189" i="5" s="1"/>
  <c r="Z442" i="5" s="1"/>
  <c r="Z349" i="5"/>
  <c r="Z351" i="5" s="1"/>
  <c r="Z448" i="5" s="1"/>
  <c r="Z430" i="5"/>
  <c r="Z432" i="5" s="1"/>
  <c r="Z451" i="5" s="1"/>
  <c r="P23" i="31"/>
  <c r="P463" i="31"/>
  <c r="P465" i="31" s="1"/>
  <c r="R236" i="31"/>
  <c r="R237" i="31" s="1"/>
  <c r="R225" i="31"/>
  <c r="S224" i="31"/>
  <c r="R230" i="31"/>
  <c r="R231" i="31" s="1"/>
  <c r="AE310" i="31"/>
  <c r="AF308" i="31"/>
  <c r="AE260" i="31"/>
  <c r="AD262" i="31"/>
  <c r="AI424" i="31"/>
  <c r="AJ422" i="31"/>
  <c r="AJ424" i="31" s="1"/>
  <c r="AE146" i="31"/>
  <c r="AD148" i="31"/>
  <c r="T332" i="31"/>
  <c r="S344" i="31"/>
  <c r="S345" i="31" s="1"/>
  <c r="S338" i="31"/>
  <c r="S339" i="31" s="1"/>
  <c r="S333" i="31"/>
  <c r="Q178" i="1"/>
  <c r="Q6" i="7"/>
  <c r="S290" i="31"/>
  <c r="S291" i="31" s="1"/>
  <c r="T278" i="31"/>
  <c r="S284" i="31"/>
  <c r="S285" i="31" s="1"/>
  <c r="S279" i="31"/>
  <c r="Q266" i="31"/>
  <c r="Q270" i="31" s="1"/>
  <c r="Q445" i="31" s="1"/>
  <c r="AC289" i="31"/>
  <c r="AD287" i="31"/>
  <c r="AD311" i="5"/>
  <c r="AC312" i="5"/>
  <c r="Q428" i="31"/>
  <c r="Q432" i="31" s="1"/>
  <c r="Q451" i="31" s="1"/>
  <c r="S401" i="31"/>
  <c r="AI416" i="5"/>
  <c r="AH418" i="5"/>
  <c r="AJ370" i="5"/>
  <c r="AK368" i="5"/>
  <c r="AG196" i="5"/>
  <c r="AF198" i="5"/>
  <c r="AG198" i="5" s="1"/>
  <c r="T116" i="31"/>
  <c r="S117" i="31"/>
  <c r="S131" i="31" s="1"/>
  <c r="S128" i="31"/>
  <c r="S129" i="31" s="1"/>
  <c r="S122" i="31"/>
  <c r="S123" i="31" s="1"/>
  <c r="N378" i="31"/>
  <c r="O374" i="31"/>
  <c r="P437" i="31"/>
  <c r="AI254" i="31"/>
  <c r="AH256" i="31"/>
  <c r="Q40" i="7"/>
  <c r="Q130" i="1"/>
  <c r="Q111" i="1"/>
  <c r="Q38" i="1"/>
  <c r="Q44" i="1"/>
  <c r="Q133" i="1"/>
  <c r="Q77" i="1"/>
  <c r="Q37" i="7"/>
  <c r="DU37" i="7" s="1"/>
  <c r="Q125" i="1"/>
  <c r="Q108" i="1"/>
  <c r="Q114" i="1"/>
  <c r="Q41" i="1"/>
  <c r="Q50" i="7"/>
  <c r="Q13" i="7"/>
  <c r="DU13" i="7" s="1"/>
  <c r="Q122" i="1"/>
  <c r="Q50" i="1"/>
  <c r="Q94" i="1"/>
  <c r="DU3" i="7"/>
  <c r="DU50" i="7" s="1"/>
  <c r="Q174" i="1"/>
  <c r="Q182" i="1" s="1"/>
  <c r="Q47" i="1"/>
  <c r="P439" i="31"/>
  <c r="AH202" i="31"/>
  <c r="AI200" i="31"/>
  <c r="R430" i="31"/>
  <c r="R322" i="31"/>
  <c r="R324" i="31" s="1"/>
  <c r="R447" i="31" s="1"/>
  <c r="R214" i="31"/>
  <c r="R133" i="31"/>
  <c r="R135" i="31" s="1"/>
  <c r="R440" i="31" s="1"/>
  <c r="R376" i="31"/>
  <c r="R268" i="31"/>
  <c r="R106" i="31"/>
  <c r="R52" i="31"/>
  <c r="R349" i="31"/>
  <c r="R241" i="31"/>
  <c r="R187" i="31"/>
  <c r="S25" i="31"/>
  <c r="R403" i="31"/>
  <c r="R160" i="31"/>
  <c r="R162" i="31" s="1"/>
  <c r="R295" i="31"/>
  <c r="R79" i="31"/>
  <c r="R81" i="31" s="1"/>
  <c r="R438" i="31" s="1"/>
  <c r="N414" i="31"/>
  <c r="O412" i="31"/>
  <c r="S90" i="31"/>
  <c r="S104" i="31" s="1"/>
  <c r="S101" i="31"/>
  <c r="S102" i="31" s="1"/>
  <c r="S95" i="31"/>
  <c r="S96" i="31" s="1"/>
  <c r="T89" i="31"/>
  <c r="AB69" i="1"/>
  <c r="AE401" i="5"/>
  <c r="AC41" i="28"/>
  <c r="AC43" i="28" s="1"/>
  <c r="N216" i="31"/>
  <c r="O212" i="31"/>
  <c r="AH143" i="5"/>
  <c r="AF144" i="5"/>
  <c r="AG143" i="5"/>
  <c r="AF155" i="5"/>
  <c r="AF156" i="5" s="1"/>
  <c r="AG156" i="5" s="1"/>
  <c r="AF149" i="5"/>
  <c r="AF150" i="5" s="1"/>
  <c r="N442" i="31"/>
  <c r="O189" i="31"/>
  <c r="O442" i="31" s="1"/>
  <c r="P189" i="31"/>
  <c r="R405" i="5"/>
  <c r="R450" i="5" s="1"/>
  <c r="R452" i="5" s="1"/>
  <c r="R3" i="7" s="1"/>
  <c r="R456" i="5"/>
  <c r="R457" i="5" s="1"/>
  <c r="AB223" i="31"/>
  <c r="V144" i="31"/>
  <c r="V149" i="31"/>
  <c r="V150" i="31" s="1"/>
  <c r="W143" i="31"/>
  <c r="V155" i="31"/>
  <c r="V156" i="31" s="1"/>
  <c r="AC229" i="31"/>
  <c r="AD227" i="31"/>
  <c r="Q9" i="31"/>
  <c r="Q20" i="31"/>
  <c r="Q21" i="31" s="1"/>
  <c r="Q14" i="31"/>
  <c r="Q15" i="31" s="1"/>
  <c r="R8" i="31"/>
  <c r="AF94" i="31"/>
  <c r="AG92" i="31"/>
  <c r="AA69" i="31"/>
  <c r="AB67" i="31"/>
  <c r="R293" i="31"/>
  <c r="R297" i="31" s="1"/>
  <c r="R446" i="31" s="1"/>
  <c r="R263" i="31"/>
  <c r="R264" i="31" s="1"/>
  <c r="S251" i="31"/>
  <c r="R257" i="31"/>
  <c r="R258" i="31" s="1"/>
  <c r="R252" i="31"/>
  <c r="AF208" i="31"/>
  <c r="AG206" i="31"/>
  <c r="Q243" i="31"/>
  <c r="Q444" i="31" s="1"/>
  <c r="AF223" i="5"/>
  <c r="AG223" i="5" s="1"/>
  <c r="AH223" i="5"/>
  <c r="AG222" i="5"/>
  <c r="AH330" i="5" s="1"/>
  <c r="M452" i="31"/>
  <c r="AJ389" i="5"/>
  <c r="AI391" i="5"/>
  <c r="R176" i="31"/>
  <c r="R177" i="31" s="1"/>
  <c r="R171" i="31"/>
  <c r="S170" i="31"/>
  <c r="B6" i="32"/>
  <c r="AF185" i="5"/>
  <c r="AG177" i="5"/>
  <c r="AH141" i="5"/>
  <c r="AH115" i="5"/>
  <c r="AI115" i="5"/>
  <c r="AL154" i="5"/>
  <c r="AM152" i="5"/>
  <c r="AL395" i="5"/>
  <c r="AK397" i="5"/>
  <c r="AG185" i="5"/>
  <c r="AG419" i="5"/>
  <c r="AG425" i="5"/>
  <c r="AH419" i="5"/>
  <c r="AH420" i="5" s="1"/>
  <c r="AH425" i="5"/>
  <c r="AH426" i="5" s="1"/>
  <c r="AI413" i="5"/>
  <c r="N414" i="5"/>
  <c r="AJ181" i="5"/>
  <c r="AK179" i="5"/>
  <c r="AD305" i="31"/>
  <c r="AC306" i="31"/>
  <c r="F183" i="1"/>
  <c r="G182" i="1"/>
  <c r="V13" i="7"/>
  <c r="V37" i="7"/>
  <c r="V133" i="1"/>
  <c r="V125" i="1"/>
  <c r="V114" i="1"/>
  <c r="V77" i="1"/>
  <c r="V41" i="1"/>
  <c r="V108" i="1"/>
  <c r="V47" i="1"/>
  <c r="V40" i="7"/>
  <c r="V50" i="7"/>
  <c r="V174" i="1"/>
  <c r="V182" i="1" s="1"/>
  <c r="V183" i="1" s="1"/>
  <c r="V130" i="1"/>
  <c r="V122" i="1"/>
  <c r="V94" i="1"/>
  <c r="V44" i="1"/>
  <c r="V111" i="1"/>
  <c r="V50" i="1"/>
  <c r="V38" i="1"/>
  <c r="AJ424" i="5"/>
  <c r="AK422" i="5"/>
  <c r="S360" i="5"/>
  <c r="T358" i="5"/>
  <c r="AO281" i="5"/>
  <c r="AO283" i="5" s="1"/>
  <c r="AN283" i="5"/>
  <c r="AE311" i="31"/>
  <c r="AD312" i="31"/>
  <c r="X239" i="5"/>
  <c r="X463" i="5"/>
  <c r="X465" i="5" s="1"/>
  <c r="X8" i="7" s="1"/>
  <c r="AK127" i="5"/>
  <c r="AL125" i="5"/>
  <c r="S347" i="5"/>
  <c r="T333" i="5"/>
  <c r="AE62" i="31"/>
  <c r="AD63" i="31"/>
  <c r="AD77" i="31" s="1"/>
  <c r="AI250" i="5"/>
  <c r="AI276" i="5"/>
  <c r="AJ250" i="5"/>
  <c r="W243" i="5"/>
  <c r="W444" i="5" s="1"/>
  <c r="W456" i="5"/>
  <c r="W457" i="5" s="1"/>
  <c r="AF428" i="5"/>
  <c r="AG428" i="5" s="1"/>
  <c r="AG414" i="5"/>
  <c r="N387" i="5"/>
  <c r="AE347" i="5"/>
  <c r="AH332" i="5"/>
  <c r="AF338" i="5"/>
  <c r="AF339" i="5" s="1"/>
  <c r="AG332" i="5"/>
  <c r="AF344" i="5"/>
  <c r="AF345" i="5" s="1"/>
  <c r="AG345" i="5" s="1"/>
  <c r="AF333" i="5"/>
  <c r="AG333" i="5" s="1"/>
  <c r="AA320" i="31"/>
  <c r="AB306" i="31"/>
  <c r="AI175" i="5"/>
  <c r="AJ173" i="5"/>
  <c r="G7" i="16"/>
  <c r="F5" i="11"/>
  <c r="G5" i="11" s="1"/>
  <c r="AF122" i="5"/>
  <c r="AH116" i="5"/>
  <c r="AF128" i="5"/>
  <c r="AF129" i="5" s="1"/>
  <c r="AG129" i="5" s="1"/>
  <c r="AF117" i="5"/>
  <c r="AG117" i="5" s="1"/>
  <c r="AG116" i="5"/>
  <c r="V6" i="7"/>
  <c r="V10" i="7" s="1"/>
  <c r="V12" i="7" s="1"/>
  <c r="T384" i="5"/>
  <c r="S411" i="5"/>
  <c r="S385" i="5"/>
  <c r="S387" i="5" s="1"/>
  <c r="S401" i="5" s="1"/>
  <c r="S405" i="5" s="1"/>
  <c r="S450" i="5" s="1"/>
  <c r="DS42" i="28"/>
  <c r="AH386" i="5"/>
  <c r="AF392" i="5"/>
  <c r="AF393" i="5" s="1"/>
  <c r="AG393" i="5" s="1"/>
  <c r="AG386" i="5"/>
  <c r="AF398" i="5"/>
  <c r="AF399" i="5" s="1"/>
  <c r="AG399" i="5" s="1"/>
  <c r="AF387" i="5"/>
  <c r="AF44" i="5"/>
  <c r="AF46" i="5" s="1"/>
  <c r="AG46" i="5" s="1"/>
  <c r="AG17" i="5"/>
  <c r="AG44" i="5" s="1"/>
  <c r="AF19" i="5"/>
  <c r="AG19" i="5" s="1"/>
  <c r="Y236" i="5"/>
  <c r="Y237" i="5" s="1"/>
  <c r="Y230" i="5"/>
  <c r="Y231" i="5" s="1"/>
  <c r="Z224" i="5"/>
  <c r="Y225" i="5"/>
  <c r="AG176" i="5"/>
  <c r="AG182" i="5"/>
  <c r="AH176" i="5"/>
  <c r="AH177" i="5" s="1"/>
  <c r="AH182" i="5"/>
  <c r="AH183" i="5" s="1"/>
  <c r="AI170" i="5"/>
  <c r="AH171" i="5"/>
  <c r="AN362" i="5"/>
  <c r="AM364" i="5"/>
  <c r="DA42" i="28"/>
  <c r="DT42" i="28" s="1"/>
  <c r="DT43" i="28" s="1"/>
  <c r="N43" i="28"/>
  <c r="O42" i="28"/>
  <c r="O43" i="28" s="1"/>
  <c r="DT31" i="28"/>
  <c r="DA32" i="28"/>
  <c r="DB31" i="28"/>
  <c r="DB32" i="28" s="1"/>
  <c r="N447" i="5"/>
  <c r="T324" i="5"/>
  <c r="T447" i="5" s="1"/>
  <c r="AD317" i="31"/>
  <c r="AC318" i="31"/>
  <c r="AJ206" i="5"/>
  <c r="AI208" i="5"/>
  <c r="AJ287" i="5"/>
  <c r="AI289" i="5"/>
  <c r="AI291" i="5" s="1"/>
  <c r="AG339" i="5"/>
  <c r="I5" i="12"/>
  <c r="X76" i="1"/>
  <c r="X26" i="7" s="1"/>
  <c r="Y70" i="1"/>
  <c r="Y72" i="1" s="1"/>
  <c r="Z63" i="1"/>
  <c r="Y65" i="1"/>
  <c r="X89" i="1"/>
  <c r="W93" i="1"/>
  <c r="W27" i="7" s="1"/>
  <c r="B9" i="32" s="1"/>
  <c r="B10" i="32" s="1"/>
  <c r="G206" i="1"/>
  <c r="G42" i="7" s="1"/>
  <c r="G5" i="12" s="1"/>
  <c r="CY42" i="7"/>
  <c r="CY39" i="7" s="1"/>
  <c r="N5" i="12"/>
  <c r="L5" i="12"/>
  <c r="CW42" i="7"/>
  <c r="DD42" i="7"/>
  <c r="DD39" i="7" s="1"/>
  <c r="K5" i="12"/>
  <c r="CV42" i="7"/>
  <c r="CV39" i="7" s="1"/>
  <c r="DC42" i="7"/>
  <c r="DC39" i="7" s="1"/>
  <c r="J5" i="12"/>
  <c r="CU42" i="7"/>
  <c r="CU39" i="7" s="1"/>
  <c r="CX42" i="7"/>
  <c r="DQ42" i="7" s="1"/>
  <c r="M5" i="12"/>
  <c r="C12" i="16"/>
  <c r="D12" i="16" s="1"/>
  <c r="E12" i="16" s="1"/>
  <c r="F12" i="16" s="1"/>
  <c r="G12" i="16" s="1"/>
  <c r="H12" i="16" s="1"/>
  <c r="C5" i="12"/>
  <c r="DB42" i="7"/>
  <c r="DB39" i="7" s="1"/>
  <c r="H5" i="12"/>
  <c r="CS42" i="7"/>
  <c r="DL42" i="7" s="1"/>
  <c r="CZ42" i="7"/>
  <c r="CZ39" i="7" s="1"/>
  <c r="V36" i="7"/>
  <c r="U50" i="7"/>
  <c r="U13" i="7"/>
  <c r="U37" i="7"/>
  <c r="U12" i="7"/>
  <c r="U39" i="7" s="1"/>
  <c r="U4" i="11" s="1"/>
  <c r="U40" i="7"/>
  <c r="P13" i="7"/>
  <c r="P37" i="7"/>
  <c r="DT37" i="7" s="1"/>
  <c r="P50" i="7"/>
  <c r="P12" i="7"/>
  <c r="P40" i="7"/>
  <c r="F5" i="12"/>
  <c r="DT42" i="7"/>
  <c r="DP42" i="7"/>
  <c r="CW39" i="7"/>
  <c r="DM42" i="7"/>
  <c r="CT39" i="7"/>
  <c r="R144" i="1"/>
  <c r="S142" i="1"/>
  <c r="S144" i="1" s="1"/>
  <c r="T23" i="16"/>
  <c r="V23" i="16" s="1"/>
  <c r="U23" i="16"/>
  <c r="DA46" i="7"/>
  <c r="DT46" i="7" s="1"/>
  <c r="R141" i="1"/>
  <c r="S139" i="1"/>
  <c r="T20" i="16"/>
  <c r="U20" i="16" s="1"/>
  <c r="DB46" i="7"/>
  <c r="DU46" i="7" s="1"/>
  <c r="AA317" i="5"/>
  <c r="Z318" i="5"/>
  <c r="Z320" i="5" s="1"/>
  <c r="Z324" i="5" s="1"/>
  <c r="Z168" i="1"/>
  <c r="P133" i="1"/>
  <c r="P174" i="1"/>
  <c r="P130" i="1"/>
  <c r="P125" i="1"/>
  <c r="P122" i="1"/>
  <c r="P114" i="1"/>
  <c r="P94" i="1"/>
  <c r="P77" i="1"/>
  <c r="P44" i="1"/>
  <c r="P41" i="1"/>
  <c r="P111" i="1"/>
  <c r="P108" i="1"/>
  <c r="P50" i="1"/>
  <c r="P47" i="1"/>
  <c r="P38" i="1"/>
  <c r="U130" i="1"/>
  <c r="U125" i="1"/>
  <c r="U122" i="1"/>
  <c r="U174" i="1"/>
  <c r="U133" i="1"/>
  <c r="U111" i="1"/>
  <c r="U108" i="1"/>
  <c r="U50" i="1"/>
  <c r="U47" i="1"/>
  <c r="U38" i="1"/>
  <c r="U114" i="1"/>
  <c r="U94" i="1"/>
  <c r="U77" i="1"/>
  <c r="U44" i="1"/>
  <c r="U41" i="1"/>
  <c r="AA117" i="1"/>
  <c r="AA119" i="1" s="1"/>
  <c r="AA31" i="7" s="1"/>
  <c r="W28" i="1"/>
  <c r="W32" i="1" s="1"/>
  <c r="W20" i="7" s="1"/>
  <c r="B19" i="32" s="1"/>
  <c r="AI28" i="7"/>
  <c r="AJ91" i="1"/>
  <c r="AN15" i="1"/>
  <c r="AN17" i="7" s="1"/>
  <c r="AO13" i="1"/>
  <c r="AO15" i="1" s="1"/>
  <c r="AO17" i="7" s="1"/>
  <c r="AL140" i="1"/>
  <c r="X35" i="1"/>
  <c r="Y8" i="1"/>
  <c r="X10" i="1"/>
  <c r="W189" i="1"/>
  <c r="W190" i="1" s="1"/>
  <c r="W14" i="11" s="1"/>
  <c r="W37" i="1"/>
  <c r="W21" i="7" s="1"/>
  <c r="AM188" i="1"/>
  <c r="AL143" i="1"/>
  <c r="AG293" i="5"/>
  <c r="O432" i="5"/>
  <c r="AF104" i="5"/>
  <c r="AG90" i="5"/>
  <c r="AG119" i="5"/>
  <c r="AF121" i="5"/>
  <c r="AG229" i="5"/>
  <c r="O449" i="5"/>
  <c r="Y54" i="5"/>
  <c r="AF374" i="5"/>
  <c r="AG374" i="5" s="1"/>
  <c r="AG360" i="5"/>
  <c r="AL316" i="5"/>
  <c r="AM314" i="5"/>
  <c r="AJ290" i="5"/>
  <c r="AJ284" i="5"/>
  <c r="AJ285" i="5" s="1"/>
  <c r="AK278" i="5"/>
  <c r="W452" i="5"/>
  <c r="Y23" i="5"/>
  <c r="AK92" i="5"/>
  <c r="AJ94" i="5"/>
  <c r="AA74" i="5"/>
  <c r="AA75" i="5" s="1"/>
  <c r="AA68" i="5"/>
  <c r="AA69" i="5" s="1"/>
  <c r="AB62" i="5"/>
  <c r="AA63" i="5"/>
  <c r="DT3" i="7"/>
  <c r="DT50" i="7" s="1"/>
  <c r="DT13" i="7"/>
  <c r="Z447" i="5"/>
  <c r="DT6" i="7"/>
  <c r="DT10" i="7" s="1"/>
  <c r="AA36" i="5"/>
  <c r="AA47" i="5"/>
  <c r="AA48" i="5" s="1"/>
  <c r="AA41" i="5"/>
  <c r="AB35" i="5"/>
  <c r="AG305" i="5"/>
  <c r="AF306" i="5"/>
  <c r="AL335" i="5"/>
  <c r="AK337" i="5"/>
  <c r="AI200" i="5"/>
  <c r="AM455" i="5"/>
  <c r="Z42" i="5"/>
  <c r="AB11" i="5"/>
  <c r="AA38" i="5"/>
  <c r="AA40" i="5" s="1"/>
  <c r="AA13" i="5"/>
  <c r="AI209" i="5"/>
  <c r="AI203" i="5"/>
  <c r="AJ197" i="5"/>
  <c r="AI198" i="5"/>
  <c r="AG101" i="5"/>
  <c r="AG95" i="5"/>
  <c r="AI89" i="5"/>
  <c r="AE131" i="5"/>
  <c r="AI227" i="5"/>
  <c r="X436" i="5"/>
  <c r="AJ100" i="5"/>
  <c r="AK98" i="5"/>
  <c r="AI359" i="5"/>
  <c r="AG371" i="5"/>
  <c r="AG365" i="5"/>
  <c r="O405" i="5"/>
  <c r="O456" i="5"/>
  <c r="O457" i="5" s="1"/>
  <c r="AJ260" i="5"/>
  <c r="AI262" i="5"/>
  <c r="AK254" i="5"/>
  <c r="AJ256" i="5"/>
  <c r="Z77" i="5"/>
  <c r="Z81" i="5" s="1"/>
  <c r="Z438" i="5" s="1"/>
  <c r="Y81" i="5"/>
  <c r="AK233" i="5"/>
  <c r="AJ235" i="5"/>
  <c r="Z50" i="5"/>
  <c r="Z54" i="5" s="1"/>
  <c r="Z437" i="5" s="1"/>
  <c r="AF204" i="5"/>
  <c r="AG202" i="5"/>
  <c r="Z27" i="5"/>
  <c r="Z436" i="5" s="1"/>
  <c r="DI17" i="7"/>
  <c r="EB17" i="7" s="1"/>
  <c r="S176" i="31" l="1"/>
  <c r="S177" i="31" s="1"/>
  <c r="T170" i="31"/>
  <c r="S171" i="31"/>
  <c r="S185" i="31" s="1"/>
  <c r="S189" i="31" s="1"/>
  <c r="S442" i="31" s="1"/>
  <c r="AJ391" i="5"/>
  <c r="AK389" i="5"/>
  <c r="R13" i="7"/>
  <c r="DV13" i="7" s="1"/>
  <c r="R37" i="7"/>
  <c r="DV37" i="7" s="1"/>
  <c r="R125" i="1"/>
  <c r="R108" i="1"/>
  <c r="R40" i="7"/>
  <c r="R133" i="1"/>
  <c r="R122" i="1"/>
  <c r="R44" i="1"/>
  <c r="R50" i="1"/>
  <c r="DV3" i="7"/>
  <c r="DV50" i="7" s="1"/>
  <c r="R77" i="1"/>
  <c r="R174" i="1"/>
  <c r="R182" i="1" s="1"/>
  <c r="R114" i="1"/>
  <c r="R41" i="1"/>
  <c r="R47" i="1"/>
  <c r="R130" i="1"/>
  <c r="R94" i="1"/>
  <c r="R111" i="1"/>
  <c r="R38" i="1"/>
  <c r="R50" i="7"/>
  <c r="AC69" i="1"/>
  <c r="AF260" i="31"/>
  <c r="AE262" i="31"/>
  <c r="N436" i="31"/>
  <c r="O27" i="31"/>
  <c r="AF281" i="31"/>
  <c r="AE283" i="31"/>
  <c r="AJ310" i="5"/>
  <c r="AK308" i="5"/>
  <c r="AF152" i="31"/>
  <c r="AE154" i="31"/>
  <c r="O463" i="31"/>
  <c r="AI210" i="5"/>
  <c r="DW42" i="7"/>
  <c r="AH331" i="5"/>
  <c r="AI331" i="5"/>
  <c r="AH357" i="5"/>
  <c r="AH206" i="31"/>
  <c r="AG208" i="31"/>
  <c r="S252" i="31"/>
  <c r="S263" i="31"/>
  <c r="S264" i="31" s="1"/>
  <c r="S257" i="31"/>
  <c r="S258" i="31" s="1"/>
  <c r="T251" i="31"/>
  <c r="Q23" i="31"/>
  <c r="Q463" i="31"/>
  <c r="Q465" i="31" s="1"/>
  <c r="W155" i="31"/>
  <c r="W156" i="31" s="1"/>
  <c r="X143" i="31"/>
  <c r="W144" i="31"/>
  <c r="W149" i="31"/>
  <c r="W150" i="31" s="1"/>
  <c r="P442" i="31"/>
  <c r="O414" i="31"/>
  <c r="N428" i="31"/>
  <c r="R441" i="31"/>
  <c r="U332" i="31"/>
  <c r="T333" i="31"/>
  <c r="T344" i="31"/>
  <c r="T345" i="31" s="1"/>
  <c r="T338" i="31"/>
  <c r="T339" i="31" s="1"/>
  <c r="AE418" i="31"/>
  <c r="AF416" i="31"/>
  <c r="AA266" i="5"/>
  <c r="R428" i="31"/>
  <c r="R432" i="31" s="1"/>
  <c r="R451" i="31" s="1"/>
  <c r="AE343" i="31"/>
  <c r="AF341" i="31"/>
  <c r="AH127" i="31"/>
  <c r="AI125" i="31"/>
  <c r="AE316" i="31"/>
  <c r="AF314" i="31"/>
  <c r="AC384" i="31"/>
  <c r="AD358" i="31"/>
  <c r="AC358" i="31"/>
  <c r="R365" i="31"/>
  <c r="R366" i="31" s="1"/>
  <c r="R371" i="31"/>
  <c r="R372" i="31" s="1"/>
  <c r="S359" i="31"/>
  <c r="R360" i="31"/>
  <c r="Q212" i="31"/>
  <c r="Q216" i="31" s="1"/>
  <c r="Q443" i="31" s="1"/>
  <c r="AH337" i="31"/>
  <c r="AI335" i="31"/>
  <c r="T41" i="31"/>
  <c r="T42" i="31" s="1"/>
  <c r="T50" i="31" s="1"/>
  <c r="T47" i="31"/>
  <c r="T48" i="31" s="1"/>
  <c r="U35" i="31"/>
  <c r="T36" i="31"/>
  <c r="R266" i="31"/>
  <c r="R270" i="31" s="1"/>
  <c r="R445" i="31" s="1"/>
  <c r="AL368" i="5"/>
  <c r="AK370" i="5"/>
  <c r="T224" i="31"/>
  <c r="S236" i="31"/>
  <c r="S237" i="31" s="1"/>
  <c r="S225" i="31"/>
  <c r="S239" i="31" s="1"/>
  <c r="S243" i="31" s="1"/>
  <c r="S444" i="31" s="1"/>
  <c r="S230" i="31"/>
  <c r="S231" i="31" s="1"/>
  <c r="AA77" i="31"/>
  <c r="AB69" i="31"/>
  <c r="S8" i="31"/>
  <c r="R20" i="31"/>
  <c r="R21" i="31" s="1"/>
  <c r="R9" i="31"/>
  <c r="R14" i="31"/>
  <c r="R15" i="31" s="1"/>
  <c r="AD229" i="31"/>
  <c r="AE227" i="31"/>
  <c r="V158" i="31"/>
  <c r="R178" i="1"/>
  <c r="R179" i="1" s="1"/>
  <c r="R6" i="7"/>
  <c r="AG149" i="5"/>
  <c r="AG155" i="5"/>
  <c r="N443" i="31"/>
  <c r="O216" i="31"/>
  <c r="O443" i="31" s="1"/>
  <c r="AI418" i="5"/>
  <c r="AJ416" i="5"/>
  <c r="AE311" i="5"/>
  <c r="AD312" i="5"/>
  <c r="T290" i="31"/>
  <c r="T291" i="31" s="1"/>
  <c r="U278" i="31"/>
  <c r="T284" i="31"/>
  <c r="T285" i="31" s="1"/>
  <c r="T279" i="31"/>
  <c r="S347" i="31"/>
  <c r="AF98" i="31"/>
  <c r="AE100" i="31"/>
  <c r="AB257" i="5"/>
  <c r="AB258" i="5" s="1"/>
  <c r="AB263" i="5"/>
  <c r="AB264" i="5" s="1"/>
  <c r="AC251" i="5"/>
  <c r="AB252" i="5"/>
  <c r="R108" i="31"/>
  <c r="R54" i="31"/>
  <c r="AG370" i="31"/>
  <c r="AH368" i="31"/>
  <c r="Q374" i="31"/>
  <c r="Q378" i="31" s="1"/>
  <c r="Q449" i="31" s="1"/>
  <c r="R209" i="31"/>
  <c r="R210" i="31" s="1"/>
  <c r="S197" i="31"/>
  <c r="R203" i="31"/>
  <c r="R204" i="31" s="1"/>
  <c r="R198" i="31"/>
  <c r="AD397" i="31"/>
  <c r="AE395" i="31"/>
  <c r="AB20" i="5"/>
  <c r="AB21" i="5" s="1"/>
  <c r="AB14" i="5"/>
  <c r="AB9" i="5"/>
  <c r="AC8" i="5"/>
  <c r="P445" i="31"/>
  <c r="AG94" i="31"/>
  <c r="AH92" i="31"/>
  <c r="AF158" i="5"/>
  <c r="AG158" i="5" s="1"/>
  <c r="AG144" i="5"/>
  <c r="S349" i="31"/>
  <c r="S268" i="31"/>
  <c r="S79" i="31"/>
  <c r="S81" i="31" s="1"/>
  <c r="S438" i="31" s="1"/>
  <c r="T25" i="31"/>
  <c r="S403" i="31"/>
  <c r="S405" i="31" s="1"/>
  <c r="S450" i="31" s="1"/>
  <c r="S295" i="31"/>
  <c r="S187" i="31"/>
  <c r="S106" i="31"/>
  <c r="S108" i="31" s="1"/>
  <c r="S439" i="31" s="1"/>
  <c r="S376" i="31"/>
  <c r="S214" i="31"/>
  <c r="S133" i="31"/>
  <c r="S52" i="31"/>
  <c r="S160" i="31"/>
  <c r="S162" i="31" s="1"/>
  <c r="S441" i="31" s="1"/>
  <c r="S322" i="31"/>
  <c r="S324" i="31" s="1"/>
  <c r="S447" i="31" s="1"/>
  <c r="S430" i="31"/>
  <c r="S241" i="31"/>
  <c r="AI202" i="31"/>
  <c r="AJ200" i="31"/>
  <c r="AJ202" i="31" s="1"/>
  <c r="S135" i="31"/>
  <c r="S440" i="31" s="1"/>
  <c r="AF146" i="31"/>
  <c r="AE148" i="31"/>
  <c r="P27" i="31"/>
  <c r="P436" i="31" s="1"/>
  <c r="P456" i="31"/>
  <c r="P457" i="31" s="1"/>
  <c r="AA133" i="5"/>
  <c r="AA135" i="5" s="1"/>
  <c r="AA440" i="5" s="1"/>
  <c r="AA160" i="5"/>
  <c r="AA162" i="5" s="1"/>
  <c r="AA441" i="5" s="1"/>
  <c r="AA241" i="5"/>
  <c r="AA52" i="5"/>
  <c r="AA349" i="5"/>
  <c r="AA351" i="5" s="1"/>
  <c r="AA448" i="5" s="1"/>
  <c r="AB25" i="5"/>
  <c r="AA376" i="5"/>
  <c r="AA378" i="5" s="1"/>
  <c r="AA449" i="5" s="1"/>
  <c r="AA106" i="5"/>
  <c r="AA108" i="5" s="1"/>
  <c r="AA439" i="5" s="1"/>
  <c r="AA295" i="5"/>
  <c r="AA297" i="5" s="1"/>
  <c r="AA446" i="5" s="1"/>
  <c r="AA187" i="5"/>
  <c r="AA189" i="5" s="1"/>
  <c r="AA442" i="5" s="1"/>
  <c r="AA79" i="5"/>
  <c r="AA268" i="5"/>
  <c r="AA214" i="5"/>
  <c r="AA216" i="5" s="1"/>
  <c r="AA443" i="5" s="1"/>
  <c r="AA430" i="5"/>
  <c r="AA432" i="5" s="1"/>
  <c r="AA451" i="5" s="1"/>
  <c r="AA403" i="5"/>
  <c r="AA405" i="5" s="1"/>
  <c r="AA450" i="5" s="1"/>
  <c r="AA322" i="5"/>
  <c r="S419" i="31"/>
  <c r="S420" i="31" s="1"/>
  <c r="S425" i="31"/>
  <c r="S426" i="31" s="1"/>
  <c r="T413" i="31"/>
  <c r="S414" i="31"/>
  <c r="R185" i="31"/>
  <c r="AH155" i="5"/>
  <c r="AH156" i="5" s="1"/>
  <c r="AH149" i="5"/>
  <c r="AH150" i="5" s="1"/>
  <c r="AI143" i="5"/>
  <c r="T101" i="31"/>
  <c r="T102" i="31" s="1"/>
  <c r="U89" i="31"/>
  <c r="T90" i="31"/>
  <c r="T104" i="31" s="1"/>
  <c r="T95" i="31"/>
  <c r="T96" i="31" s="1"/>
  <c r="AJ254" i="31"/>
  <c r="AJ256" i="31" s="1"/>
  <c r="AI256" i="31"/>
  <c r="N449" i="31"/>
  <c r="O378" i="31"/>
  <c r="O449" i="31" s="1"/>
  <c r="T122" i="31"/>
  <c r="T123" i="31" s="1"/>
  <c r="T117" i="31"/>
  <c r="U116" i="31"/>
  <c r="T128" i="31"/>
  <c r="T129" i="31" s="1"/>
  <c r="AD289" i="31"/>
  <c r="AE287" i="31"/>
  <c r="S293" i="31"/>
  <c r="S297" i="31" s="1"/>
  <c r="S446" i="31" s="1"/>
  <c r="Q10" i="7"/>
  <c r="Q12" i="7" s="1"/>
  <c r="DU6" i="7"/>
  <c r="DU10" i="7" s="1"/>
  <c r="AG308" i="31"/>
  <c r="AF310" i="31"/>
  <c r="R239" i="31"/>
  <c r="AK146" i="5"/>
  <c r="AJ148" i="5"/>
  <c r="U398" i="31"/>
  <c r="U399" i="31" s="1"/>
  <c r="V386" i="31"/>
  <c r="U387" i="31"/>
  <c r="U392" i="31"/>
  <c r="U393" i="31" s="1"/>
  <c r="AB32" i="28"/>
  <c r="AC30" i="28"/>
  <c r="AC32" i="28" s="1"/>
  <c r="AE364" i="31"/>
  <c r="AF362" i="31"/>
  <c r="AJ341" i="5"/>
  <c r="AI343" i="5"/>
  <c r="AG175" i="31"/>
  <c r="AH173" i="31"/>
  <c r="N405" i="31"/>
  <c r="O401" i="31"/>
  <c r="AF181" i="31"/>
  <c r="AG179" i="31"/>
  <c r="S50" i="31"/>
  <c r="S54" i="31" s="1"/>
  <c r="S437" i="31" s="1"/>
  <c r="P216" i="31"/>
  <c r="DU42" i="7"/>
  <c r="DN42" i="7"/>
  <c r="W178" i="1"/>
  <c r="B20" i="32"/>
  <c r="O5" i="12"/>
  <c r="DT32" i="28"/>
  <c r="DU31" i="28"/>
  <c r="DU32" i="28" s="1"/>
  <c r="AN364" i="5"/>
  <c r="AO362" i="5"/>
  <c r="AO364" i="5" s="1"/>
  <c r="AH185" i="5"/>
  <c r="Z225" i="5"/>
  <c r="AA224" i="5"/>
  <c r="Z236" i="5"/>
  <c r="Z237" i="5" s="1"/>
  <c r="Z230" i="5"/>
  <c r="Z231" i="5" s="1"/>
  <c r="AF401" i="5"/>
  <c r="AG401" i="5" s="1"/>
  <c r="AG398" i="5"/>
  <c r="AG392" i="5"/>
  <c r="AH392" i="5"/>
  <c r="AH393" i="5" s="1"/>
  <c r="AH398" i="5"/>
  <c r="AH399" i="5" s="1"/>
  <c r="AI386" i="5"/>
  <c r="AG128" i="5"/>
  <c r="AG122" i="5"/>
  <c r="AB320" i="31"/>
  <c r="AF347" i="5"/>
  <c r="AG347" i="5" s="1"/>
  <c r="N401" i="5"/>
  <c r="N463" i="5"/>
  <c r="N465" i="5" s="1"/>
  <c r="T387" i="5"/>
  <c r="AI277" i="5"/>
  <c r="AI279" i="5" s="1"/>
  <c r="AI293" i="5" s="1"/>
  <c r="AI303" i="5"/>
  <c r="AJ277" i="5"/>
  <c r="AJ279" i="5" s="1"/>
  <c r="AG387" i="5"/>
  <c r="AF311" i="31"/>
  <c r="AE312" i="31"/>
  <c r="S374" i="5"/>
  <c r="T360" i="5"/>
  <c r="AK424" i="5"/>
  <c r="AL422" i="5"/>
  <c r="F8" i="16"/>
  <c r="G183" i="1"/>
  <c r="AC320" i="31"/>
  <c r="AL179" i="5"/>
  <c r="AK181" i="5"/>
  <c r="N428" i="5"/>
  <c r="AI425" i="5"/>
  <c r="AI426" i="5" s="1"/>
  <c r="AI419" i="5"/>
  <c r="AI420" i="5" s="1"/>
  <c r="AJ413" i="5"/>
  <c r="AM395" i="5"/>
  <c r="AL397" i="5"/>
  <c r="AH142" i="5"/>
  <c r="AH144" i="5" s="1"/>
  <c r="AH158" i="5" s="1"/>
  <c r="AI142" i="5"/>
  <c r="AI144" i="5" s="1"/>
  <c r="V39" i="7"/>
  <c r="V4" i="11" s="1"/>
  <c r="AK287" i="5"/>
  <c r="AJ289" i="5"/>
  <c r="AJ291" i="5" s="1"/>
  <c r="AJ293" i="5" s="1"/>
  <c r="AJ208" i="5"/>
  <c r="AK206" i="5"/>
  <c r="AE317" i="31"/>
  <c r="AD318" i="31"/>
  <c r="DA43" i="28"/>
  <c r="DB42" i="28"/>
  <c r="DB43" i="28" s="1"/>
  <c r="AJ170" i="5"/>
  <c r="AI171" i="5"/>
  <c r="AI176" i="5"/>
  <c r="AI177" i="5" s="1"/>
  <c r="AI182" i="5"/>
  <c r="AI183" i="5" s="1"/>
  <c r="Y239" i="5"/>
  <c r="Y243" i="5" s="1"/>
  <c r="Y444" i="5" s="1"/>
  <c r="Y463" i="5"/>
  <c r="Y465" i="5" s="1"/>
  <c r="Y8" i="7" s="1"/>
  <c r="DS43" i="28"/>
  <c r="DU42" i="28"/>
  <c r="DU43" i="28" s="1"/>
  <c r="T411" i="5"/>
  <c r="S412" i="5"/>
  <c r="AH122" i="5"/>
  <c r="AH123" i="5" s="1"/>
  <c r="AH128" i="5"/>
  <c r="AH129" i="5" s="1"/>
  <c r="AI116" i="5"/>
  <c r="AK173" i="5"/>
  <c r="AJ175" i="5"/>
  <c r="AG344" i="5"/>
  <c r="AG338" i="5"/>
  <c r="AH338" i="5"/>
  <c r="AH339" i="5" s="1"/>
  <c r="AH344" i="5"/>
  <c r="AH345" i="5" s="1"/>
  <c r="AI332" i="5"/>
  <c r="T385" i="5"/>
  <c r="W6" i="7"/>
  <c r="W10" i="7" s="1"/>
  <c r="AF62" i="31"/>
  <c r="AE63" i="31"/>
  <c r="AE77" i="31" s="1"/>
  <c r="S351" i="5"/>
  <c r="T347" i="5"/>
  <c r="AM125" i="5"/>
  <c r="AL127" i="5"/>
  <c r="X243" i="5"/>
  <c r="X444" i="5" s="1"/>
  <c r="X456" i="5"/>
  <c r="X457" i="5" s="1"/>
  <c r="AE305" i="31"/>
  <c r="AD306" i="31"/>
  <c r="AD320" i="31" s="1"/>
  <c r="AH333" i="5"/>
  <c r="AH347" i="5" s="1"/>
  <c r="AN152" i="5"/>
  <c r="AM154" i="5"/>
  <c r="AH117" i="5"/>
  <c r="DO42" i="7"/>
  <c r="DE42" i="7"/>
  <c r="DE39" i="7" s="1"/>
  <c r="CX39" i="7"/>
  <c r="DR42" i="7"/>
  <c r="Y76" i="1"/>
  <c r="Y26" i="7" s="1"/>
  <c r="Z65" i="1"/>
  <c r="Z70" i="1"/>
  <c r="Z72" i="1" s="1"/>
  <c r="AA63" i="1"/>
  <c r="Y89" i="1"/>
  <c r="X93" i="1"/>
  <c r="X27" i="7" s="1"/>
  <c r="X178" i="1" s="1"/>
  <c r="CS39" i="7"/>
  <c r="DV42" i="7"/>
  <c r="T144" i="1"/>
  <c r="W36" i="7"/>
  <c r="I12" i="16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DS42" i="7"/>
  <c r="DX42" i="7" s="1"/>
  <c r="X28" i="1"/>
  <c r="X32" i="1" s="1"/>
  <c r="X20" i="7" s="1"/>
  <c r="X16" i="7"/>
  <c r="O6" i="7"/>
  <c r="O10" i="7" s="1"/>
  <c r="W3" i="7"/>
  <c r="W174" i="1" s="1"/>
  <c r="W466" i="5"/>
  <c r="R146" i="1"/>
  <c r="R46" i="7" s="1"/>
  <c r="X23" i="16"/>
  <c r="V142" i="1"/>
  <c r="U139" i="1"/>
  <c r="U141" i="1" s="1"/>
  <c r="T139" i="1"/>
  <c r="S141" i="1"/>
  <c r="W23" i="16"/>
  <c r="U142" i="1"/>
  <c r="T142" i="1"/>
  <c r="U144" i="1"/>
  <c r="AB317" i="5"/>
  <c r="AA318" i="5"/>
  <c r="AA320" i="5" s="1"/>
  <c r="AA324" i="5" s="1"/>
  <c r="AA447" i="5" s="1"/>
  <c r="AB117" i="1"/>
  <c r="AB119" i="1" s="1"/>
  <c r="AB31" i="7" s="1"/>
  <c r="W44" i="1"/>
  <c r="AA168" i="1"/>
  <c r="U182" i="1"/>
  <c r="P182" i="1"/>
  <c r="AM143" i="1"/>
  <c r="X189" i="1"/>
  <c r="X190" i="1" s="1"/>
  <c r="X14" i="11" s="1"/>
  <c r="X37" i="1"/>
  <c r="X21" i="7" s="1"/>
  <c r="AK91" i="1"/>
  <c r="AN188" i="1"/>
  <c r="Y35" i="1"/>
  <c r="Y10" i="1"/>
  <c r="Z8" i="1"/>
  <c r="AM140" i="1"/>
  <c r="AJ28" i="7"/>
  <c r="AK99" i="1"/>
  <c r="AK107" i="1" s="1"/>
  <c r="Y438" i="5"/>
  <c r="AK260" i="5"/>
  <c r="AJ262" i="5"/>
  <c r="AJ359" i="5"/>
  <c r="AI371" i="5"/>
  <c r="AI372" i="5" s="1"/>
  <c r="AI365" i="5"/>
  <c r="AI366" i="5" s="1"/>
  <c r="AL98" i="5"/>
  <c r="AK100" i="5"/>
  <c r="X452" i="5"/>
  <c r="AI229" i="5"/>
  <c r="AJ227" i="5"/>
  <c r="AI101" i="5"/>
  <c r="AI102" i="5" s="1"/>
  <c r="AI95" i="5"/>
  <c r="AI96" i="5" s="1"/>
  <c r="AJ89" i="5"/>
  <c r="AI90" i="5"/>
  <c r="AJ203" i="5"/>
  <c r="AJ209" i="5"/>
  <c r="AK197" i="5"/>
  <c r="AJ198" i="5"/>
  <c r="AB38" i="5"/>
  <c r="AB40" i="5" s="1"/>
  <c r="AB13" i="5"/>
  <c r="AB15" i="5" s="1"/>
  <c r="AB23" i="5" s="1"/>
  <c r="AC11" i="5"/>
  <c r="AL337" i="5"/>
  <c r="AM335" i="5"/>
  <c r="AI305" i="5"/>
  <c r="AB36" i="5"/>
  <c r="AB47" i="5"/>
  <c r="AB48" i="5" s="1"/>
  <c r="AC35" i="5"/>
  <c r="AB41" i="5"/>
  <c r="AA77" i="5"/>
  <c r="AL278" i="5"/>
  <c r="AK290" i="5"/>
  <c r="AK284" i="5"/>
  <c r="AK285" i="5" s="1"/>
  <c r="AK279" i="5"/>
  <c r="AF123" i="5"/>
  <c r="AG121" i="5"/>
  <c r="AI119" i="5"/>
  <c r="AG104" i="5"/>
  <c r="O451" i="5"/>
  <c r="AG204" i="5"/>
  <c r="AF212" i="5"/>
  <c r="AL233" i="5"/>
  <c r="AK235" i="5"/>
  <c r="AK256" i="5"/>
  <c r="AL254" i="5"/>
  <c r="O450" i="5"/>
  <c r="CZ8" i="7"/>
  <c r="AA15" i="5"/>
  <c r="AA42" i="5"/>
  <c r="AA50" i="5" s="1"/>
  <c r="AA54" i="5" s="1"/>
  <c r="AN455" i="5"/>
  <c r="AI202" i="5"/>
  <c r="AI204" i="5" s="1"/>
  <c r="AI212" i="5" s="1"/>
  <c r="AJ200" i="5"/>
  <c r="AG306" i="5"/>
  <c r="DT12" i="7"/>
  <c r="AB63" i="5"/>
  <c r="AB74" i="5"/>
  <c r="AB75" i="5" s="1"/>
  <c r="AB68" i="5"/>
  <c r="AB69" i="5" s="1"/>
  <c r="AC62" i="5"/>
  <c r="AK94" i="5"/>
  <c r="AL92" i="5"/>
  <c r="Y456" i="5"/>
  <c r="Y457" i="5" s="1"/>
  <c r="Y27" i="5"/>
  <c r="AN314" i="5"/>
  <c r="AM316" i="5"/>
  <c r="Y437" i="5"/>
  <c r="AG18" i="7"/>
  <c r="V116" i="31" l="1"/>
  <c r="U117" i="31"/>
  <c r="U131" i="31" s="1"/>
  <c r="U128" i="31"/>
  <c r="U129" i="31" s="1"/>
  <c r="U122" i="31"/>
  <c r="U123" i="31" s="1"/>
  <c r="AB214" i="5"/>
  <c r="AB216" i="5" s="1"/>
  <c r="AB443" i="5" s="1"/>
  <c r="AB79" i="5"/>
  <c r="AB241" i="5"/>
  <c r="AB187" i="5"/>
  <c r="AB189" i="5" s="1"/>
  <c r="AB442" i="5" s="1"/>
  <c r="AC25" i="5"/>
  <c r="AB52" i="5"/>
  <c r="AB295" i="5"/>
  <c r="AB297" i="5" s="1"/>
  <c r="AB446" i="5" s="1"/>
  <c r="AB268" i="5"/>
  <c r="AB322" i="5"/>
  <c r="AB106" i="5"/>
  <c r="AB108" i="5" s="1"/>
  <c r="AB439" i="5" s="1"/>
  <c r="AB403" i="5"/>
  <c r="AB405" i="5" s="1"/>
  <c r="AB450" i="5" s="1"/>
  <c r="AB376" i="5"/>
  <c r="AB378" i="5" s="1"/>
  <c r="AB449" i="5" s="1"/>
  <c r="AB349" i="5"/>
  <c r="AB351" i="5" s="1"/>
  <c r="AB448" i="5" s="1"/>
  <c r="AB430" i="5"/>
  <c r="AB432" i="5" s="1"/>
  <c r="AB451" i="5" s="1"/>
  <c r="AB133" i="5"/>
  <c r="AB135" i="5" s="1"/>
  <c r="AB440" i="5" s="1"/>
  <c r="AB160" i="5"/>
  <c r="AB162" i="5" s="1"/>
  <c r="AB441" i="5" s="1"/>
  <c r="AH94" i="31"/>
  <c r="AI92" i="31"/>
  <c r="S209" i="31"/>
  <c r="S210" i="31" s="1"/>
  <c r="S203" i="31"/>
  <c r="S204" i="31" s="1"/>
  <c r="T197" i="31"/>
  <c r="S198" i="31"/>
  <c r="S212" i="31" s="1"/>
  <c r="S216" i="31" s="1"/>
  <c r="S443" i="31" s="1"/>
  <c r="AG98" i="31"/>
  <c r="AF100" i="31"/>
  <c r="AB77" i="31"/>
  <c r="AJ210" i="5"/>
  <c r="W94" i="1"/>
  <c r="W133" i="1"/>
  <c r="AH131" i="5"/>
  <c r="AI185" i="5"/>
  <c r="U401" i="31"/>
  <c r="AK148" i="5"/>
  <c r="AL146" i="5"/>
  <c r="AG310" i="31"/>
  <c r="AH308" i="31"/>
  <c r="AF287" i="31"/>
  <c r="AE289" i="31"/>
  <c r="T131" i="31"/>
  <c r="V89" i="31"/>
  <c r="U95" i="31"/>
  <c r="U96" i="31" s="1"/>
  <c r="U104" i="31" s="1"/>
  <c r="U101" i="31"/>
  <c r="U102" i="31" s="1"/>
  <c r="U90" i="31"/>
  <c r="S428" i="31"/>
  <c r="AG146" i="31"/>
  <c r="AF148" i="31"/>
  <c r="T403" i="31"/>
  <c r="T405" i="31" s="1"/>
  <c r="T450" i="31" s="1"/>
  <c r="T295" i="31"/>
  <c r="T160" i="31"/>
  <c r="T162" i="31" s="1"/>
  <c r="T441" i="31" s="1"/>
  <c r="T79" i="31"/>
  <c r="T81" i="31" s="1"/>
  <c r="T349" i="31"/>
  <c r="T241" i="31"/>
  <c r="T187" i="31"/>
  <c r="U25" i="31"/>
  <c r="T430" i="31"/>
  <c r="T322" i="31"/>
  <c r="T324" i="31" s="1"/>
  <c r="T447" i="31" s="1"/>
  <c r="T214" i="31"/>
  <c r="T133" i="31"/>
  <c r="T52" i="31"/>
  <c r="T268" i="31"/>
  <c r="T376" i="31"/>
  <c r="T106" i="31"/>
  <c r="R437" i="31"/>
  <c r="S351" i="31"/>
  <c r="S448" i="31" s="1"/>
  <c r="AF227" i="31"/>
  <c r="AE229" i="31"/>
  <c r="AI337" i="31"/>
  <c r="AJ335" i="31"/>
  <c r="AJ337" i="31" s="1"/>
  <c r="S371" i="31"/>
  <c r="S372" i="31" s="1"/>
  <c r="S365" i="31"/>
  <c r="S366" i="31" s="1"/>
  <c r="T359" i="31"/>
  <c r="S360" i="31"/>
  <c r="AI127" i="31"/>
  <c r="AJ125" i="31"/>
  <c r="AJ127" i="31" s="1"/>
  <c r="T347" i="31"/>
  <c r="N432" i="31"/>
  <c r="O428" i="31"/>
  <c r="N456" i="31"/>
  <c r="N457" i="31" s="1"/>
  <c r="AH358" i="5"/>
  <c r="AH360" i="5" s="1"/>
  <c r="AH374" i="5" s="1"/>
  <c r="AH384" i="5"/>
  <c r="AI358" i="5"/>
  <c r="AI360" i="5" s="1"/>
  <c r="AI374" i="5" s="1"/>
  <c r="AD69" i="1"/>
  <c r="U170" i="31"/>
  <c r="T176" i="31"/>
  <c r="T177" i="31" s="1"/>
  <c r="T171" i="31"/>
  <c r="T185" i="31" s="1"/>
  <c r="T189" i="31" s="1"/>
  <c r="T442" i="31" s="1"/>
  <c r="AH175" i="31"/>
  <c r="AI173" i="31"/>
  <c r="U284" i="31"/>
  <c r="U285" i="31" s="1"/>
  <c r="U290" i="31"/>
  <c r="U291" i="31" s="1"/>
  <c r="V278" i="31"/>
  <c r="U279" i="31"/>
  <c r="U293" i="31" s="1"/>
  <c r="R23" i="31"/>
  <c r="R463" i="31"/>
  <c r="R465" i="31" s="1"/>
  <c r="T54" i="31"/>
  <c r="T437" i="31" s="1"/>
  <c r="W108" i="1"/>
  <c r="W50" i="1"/>
  <c r="P443" i="31"/>
  <c r="O456" i="31"/>
  <c r="O457" i="31" s="1"/>
  <c r="V387" i="31"/>
  <c r="W386" i="31"/>
  <c r="V398" i="31"/>
  <c r="V399" i="31" s="1"/>
  <c r="V392" i="31"/>
  <c r="V393" i="31" s="1"/>
  <c r="U413" i="31"/>
  <c r="T419" i="31"/>
  <c r="T420" i="31" s="1"/>
  <c r="T425" i="31"/>
  <c r="T426" i="31" s="1"/>
  <c r="T414" i="31"/>
  <c r="AA270" i="5"/>
  <c r="AA445" i="5" s="1"/>
  <c r="R212" i="31"/>
  <c r="R216" i="31" s="1"/>
  <c r="R443" i="31" s="1"/>
  <c r="R439" i="31"/>
  <c r="T293" i="31"/>
  <c r="T297" i="31" s="1"/>
  <c r="T446" i="31" s="1"/>
  <c r="R10" i="7"/>
  <c r="R12" i="7" s="1"/>
  <c r="DV6" i="7"/>
  <c r="DV10" i="7" s="1"/>
  <c r="S14" i="31"/>
  <c r="S15" i="31" s="1"/>
  <c r="T8" i="31"/>
  <c r="S9" i="31"/>
  <c r="S20" i="31"/>
  <c r="S21" i="31" s="1"/>
  <c r="T225" i="31"/>
  <c r="T239" i="31" s="1"/>
  <c r="T243" i="31" s="1"/>
  <c r="T444" i="31" s="1"/>
  <c r="T230" i="31"/>
  <c r="T231" i="31" s="1"/>
  <c r="U224" i="31"/>
  <c r="T236" i="31"/>
  <c r="T237" i="31" s="1"/>
  <c r="V35" i="31"/>
  <c r="U47" i="31"/>
  <c r="U48" i="31" s="1"/>
  <c r="U41" i="31"/>
  <c r="U42" i="31" s="1"/>
  <c r="U36" i="31"/>
  <c r="U50" i="31" s="1"/>
  <c r="AC411" i="31"/>
  <c r="AD385" i="31"/>
  <c r="AC385" i="31"/>
  <c r="U344" i="31"/>
  <c r="U345" i="31" s="1"/>
  <c r="U338" i="31"/>
  <c r="U339" i="31" s="1"/>
  <c r="U333" i="31"/>
  <c r="V332" i="31"/>
  <c r="W158" i="31"/>
  <c r="Q456" i="31"/>
  <c r="Q457" i="31" s="1"/>
  <c r="Q27" i="31"/>
  <c r="Q436" i="31" s="1"/>
  <c r="Q452" i="31" s="1"/>
  <c r="S266" i="31"/>
  <c r="AG152" i="31"/>
  <c r="AF154" i="31"/>
  <c r="AG281" i="31"/>
  <c r="AF283" i="31"/>
  <c r="AG260" i="31"/>
  <c r="AF262" i="31"/>
  <c r="AK391" i="5"/>
  <c r="AL389" i="5"/>
  <c r="AH179" i="31"/>
  <c r="AG181" i="31"/>
  <c r="AF364" i="31"/>
  <c r="AG362" i="31"/>
  <c r="T108" i="31"/>
  <c r="T439" i="31" s="1"/>
  <c r="AC20" i="5"/>
  <c r="AC21" i="5" s="1"/>
  <c r="AC9" i="5"/>
  <c r="AC14" i="5"/>
  <c r="AD8" i="5"/>
  <c r="AE397" i="31"/>
  <c r="AF395" i="31"/>
  <c r="AC263" i="5"/>
  <c r="AC264" i="5" s="1"/>
  <c r="AD251" i="5"/>
  <c r="AC257" i="5"/>
  <c r="AC258" i="5" s="1"/>
  <c r="AC252" i="5"/>
  <c r="AC266" i="5" s="1"/>
  <c r="AK416" i="5"/>
  <c r="AJ418" i="5"/>
  <c r="AL370" i="5"/>
  <c r="AM368" i="5"/>
  <c r="R374" i="31"/>
  <c r="AF418" i="31"/>
  <c r="AG416" i="31"/>
  <c r="AI206" i="31"/>
  <c r="AH208" i="31"/>
  <c r="O436" i="31"/>
  <c r="W114" i="1"/>
  <c r="W41" i="1"/>
  <c r="N450" i="31"/>
  <c r="O405" i="31"/>
  <c r="O450" i="31" s="1"/>
  <c r="AK341" i="5"/>
  <c r="AJ343" i="5"/>
  <c r="R243" i="31"/>
  <c r="Q39" i="7"/>
  <c r="DU12" i="7"/>
  <c r="AI149" i="5"/>
  <c r="AI150" i="5" s="1"/>
  <c r="AI158" i="5" s="1"/>
  <c r="AJ143" i="5"/>
  <c r="AI155" i="5"/>
  <c r="AI156" i="5" s="1"/>
  <c r="R189" i="31"/>
  <c r="P452" i="31"/>
  <c r="AI368" i="31"/>
  <c r="AH370" i="31"/>
  <c r="AB266" i="5"/>
  <c r="AE312" i="5"/>
  <c r="AF311" i="5"/>
  <c r="AG314" i="31"/>
  <c r="AF316" i="31"/>
  <c r="AG341" i="31"/>
  <c r="AF343" i="31"/>
  <c r="Y143" i="31"/>
  <c r="X155" i="31"/>
  <c r="X156" i="31" s="1"/>
  <c r="X149" i="31"/>
  <c r="X150" i="31" s="1"/>
  <c r="X144" i="31"/>
  <c r="X158" i="31" s="1"/>
  <c r="T263" i="31"/>
  <c r="T264" i="31" s="1"/>
  <c r="U251" i="31"/>
  <c r="T257" i="31"/>
  <c r="T258" i="31" s="1"/>
  <c r="T252" i="31"/>
  <c r="AL308" i="5"/>
  <c r="AK310" i="5"/>
  <c r="W38" i="1"/>
  <c r="W77" i="1"/>
  <c r="W125" i="1"/>
  <c r="W111" i="1"/>
  <c r="W130" i="1"/>
  <c r="W122" i="1"/>
  <c r="W47" i="1"/>
  <c r="AF305" i="31"/>
  <c r="AE306" i="31"/>
  <c r="AM127" i="5"/>
  <c r="AN125" i="5"/>
  <c r="AI338" i="5"/>
  <c r="AI339" i="5" s="1"/>
  <c r="AI344" i="5"/>
  <c r="AI345" i="5" s="1"/>
  <c r="AJ332" i="5"/>
  <c r="AI333" i="5"/>
  <c r="AK175" i="5"/>
  <c r="AL173" i="5"/>
  <c r="AJ171" i="5"/>
  <c r="AK170" i="5"/>
  <c r="AJ182" i="5"/>
  <c r="AJ183" i="5" s="1"/>
  <c r="AJ176" i="5"/>
  <c r="AL206" i="5"/>
  <c r="AK208" i="5"/>
  <c r="AJ425" i="5"/>
  <c r="AJ426" i="5" s="1"/>
  <c r="AK413" i="5"/>
  <c r="AJ419" i="5"/>
  <c r="AJ420" i="5" s="1"/>
  <c r="AJ414" i="5"/>
  <c r="N432" i="5"/>
  <c r="AM179" i="5"/>
  <c r="AL181" i="5"/>
  <c r="S378" i="5"/>
  <c r="T374" i="5"/>
  <c r="AG311" i="31"/>
  <c r="AF312" i="31"/>
  <c r="AI304" i="5"/>
  <c r="AJ304" i="5"/>
  <c r="N405" i="5"/>
  <c r="N456" i="5"/>
  <c r="N457" i="5" s="1"/>
  <c r="T401" i="5"/>
  <c r="Z239" i="5"/>
  <c r="Z463" i="5"/>
  <c r="Z465" i="5" s="1"/>
  <c r="Z8" i="7" s="1"/>
  <c r="AO152" i="5"/>
  <c r="AO154" i="5" s="1"/>
  <c r="AN154" i="5"/>
  <c r="X6" i="7"/>
  <c r="X10" i="7" s="1"/>
  <c r="S448" i="5"/>
  <c r="T351" i="5"/>
  <c r="T448" i="5" s="1"/>
  <c r="AG62" i="31"/>
  <c r="AF63" i="31"/>
  <c r="AF77" i="31" s="1"/>
  <c r="AJ177" i="5"/>
  <c r="AJ185" i="5" s="1"/>
  <c r="AI128" i="5"/>
  <c r="AI129" i="5" s="1"/>
  <c r="AJ116" i="5"/>
  <c r="AI122" i="5"/>
  <c r="S414" i="5"/>
  <c r="T412" i="5"/>
  <c r="AF317" i="31"/>
  <c r="AE318" i="31"/>
  <c r="AK289" i="5"/>
  <c r="AK291" i="5" s="1"/>
  <c r="AK293" i="5" s="1"/>
  <c r="AL287" i="5"/>
  <c r="AI117" i="5"/>
  <c r="AM397" i="5"/>
  <c r="AN395" i="5"/>
  <c r="G8" i="16"/>
  <c r="F6" i="11"/>
  <c r="G6" i="11" s="1"/>
  <c r="AM422" i="5"/>
  <c r="AL424" i="5"/>
  <c r="N8" i="7"/>
  <c r="AI398" i="5"/>
  <c r="AI399" i="5" s="1"/>
  <c r="AJ386" i="5"/>
  <c r="AI392" i="5"/>
  <c r="AI393" i="5" s="1"/>
  <c r="AA225" i="5"/>
  <c r="AA463" i="5" s="1"/>
  <c r="AA465" i="5" s="1"/>
  <c r="AA8" i="7" s="1"/>
  <c r="AB224" i="5"/>
  <c r="AA230" i="5"/>
  <c r="AA231" i="5" s="1"/>
  <c r="AA236" i="5"/>
  <c r="AA237" i="5" s="1"/>
  <c r="Z76" i="1"/>
  <c r="Z26" i="7" s="1"/>
  <c r="AA65" i="1"/>
  <c r="AA70" i="1"/>
  <c r="AA72" i="1" s="1"/>
  <c r="AB63" i="1"/>
  <c r="Z89" i="1"/>
  <c r="Y93" i="1"/>
  <c r="Y27" i="7" s="1"/>
  <c r="Y178" i="1" s="1"/>
  <c r="Y28" i="1"/>
  <c r="Y32" i="1" s="1"/>
  <c r="Y20" i="7" s="1"/>
  <c r="Y16" i="7"/>
  <c r="R11" i="11"/>
  <c r="R12" i="11" s="1"/>
  <c r="X36" i="7"/>
  <c r="X3" i="7"/>
  <c r="X174" i="1" s="1"/>
  <c r="X466" i="5"/>
  <c r="Y6" i="7"/>
  <c r="Y10" i="7" s="1"/>
  <c r="W12" i="7"/>
  <c r="W39" i="7" s="1"/>
  <c r="W4" i="11" s="1"/>
  <c r="W37" i="7"/>
  <c r="DC46" i="7"/>
  <c r="DV46" i="7" s="1"/>
  <c r="U146" i="1"/>
  <c r="U11" i="11" s="1"/>
  <c r="U12" i="11" s="1"/>
  <c r="V144" i="1"/>
  <c r="Y23" i="16"/>
  <c r="W142" i="1"/>
  <c r="S146" i="1"/>
  <c r="T141" i="1"/>
  <c r="T146" i="1" s="1"/>
  <c r="Z23" i="16"/>
  <c r="X142" i="1"/>
  <c r="AB318" i="5"/>
  <c r="AB320" i="5" s="1"/>
  <c r="AB324" i="5" s="1"/>
  <c r="AB447" i="5" s="1"/>
  <c r="AC317" i="5"/>
  <c r="AI104" i="5"/>
  <c r="DS8" i="7"/>
  <c r="X38" i="1"/>
  <c r="W182" i="1"/>
  <c r="AC117" i="1"/>
  <c r="AC119" i="1" s="1"/>
  <c r="AC31" i="7" s="1"/>
  <c r="X41" i="1"/>
  <c r="X111" i="1"/>
  <c r="X122" i="1"/>
  <c r="X47" i="1"/>
  <c r="X114" i="1"/>
  <c r="X94" i="1"/>
  <c r="X77" i="1"/>
  <c r="AB168" i="1"/>
  <c r="AK28" i="7"/>
  <c r="AL99" i="1"/>
  <c r="AL107" i="1" s="1"/>
  <c r="AO188" i="1"/>
  <c r="AL91" i="1"/>
  <c r="AK93" i="1"/>
  <c r="AK27" i="7" s="1"/>
  <c r="AN140" i="1"/>
  <c r="Z35" i="1"/>
  <c r="AA8" i="1"/>
  <c r="Z10" i="1"/>
  <c r="Z16" i="7" s="1"/>
  <c r="Y189" i="1"/>
  <c r="Y190" i="1" s="1"/>
  <c r="Y14" i="11" s="1"/>
  <c r="Y37" i="1"/>
  <c r="Y21" i="7" s="1"/>
  <c r="AN143" i="1"/>
  <c r="AA437" i="5"/>
  <c r="AB77" i="5"/>
  <c r="AB81" i="5" s="1"/>
  <c r="AB438" i="5" s="1"/>
  <c r="DS6" i="7"/>
  <c r="DS10" i="7" s="1"/>
  <c r="AL235" i="5"/>
  <c r="AM233" i="5"/>
  <c r="O452" i="5"/>
  <c r="O3" i="7" s="1"/>
  <c r="AF131" i="5"/>
  <c r="AG123" i="5"/>
  <c r="AC36" i="5"/>
  <c r="AC47" i="5"/>
  <c r="AC48" i="5" s="1"/>
  <c r="AC41" i="5"/>
  <c r="AD35" i="5"/>
  <c r="AJ305" i="5"/>
  <c r="AI306" i="5"/>
  <c r="AB27" i="5"/>
  <c r="AB436" i="5" s="1"/>
  <c r="AB42" i="5"/>
  <c r="AB50" i="5" s="1"/>
  <c r="AK209" i="5"/>
  <c r="AK203" i="5"/>
  <c r="AL197" i="5"/>
  <c r="AK198" i="5"/>
  <c r="AJ101" i="5"/>
  <c r="AJ102" i="5" s="1"/>
  <c r="AJ95" i="5"/>
  <c r="AJ96" i="5" s="1"/>
  <c r="AK89" i="5"/>
  <c r="AJ90" i="5"/>
  <c r="AL100" i="5"/>
  <c r="AM98" i="5"/>
  <c r="AJ371" i="5"/>
  <c r="AJ372" i="5" s="1"/>
  <c r="AJ365" i="5"/>
  <c r="AJ366" i="5" s="1"/>
  <c r="AK359" i="5"/>
  <c r="AJ360" i="5"/>
  <c r="AJ374" i="5" s="1"/>
  <c r="AO314" i="5"/>
  <c r="AO316" i="5" s="1"/>
  <c r="AN316" i="5"/>
  <c r="Y436" i="5"/>
  <c r="AL94" i="5"/>
  <c r="AM92" i="5"/>
  <c r="AC74" i="5"/>
  <c r="AC75" i="5" s="1"/>
  <c r="AC68" i="5"/>
  <c r="AC69" i="5" s="1"/>
  <c r="AD62" i="5"/>
  <c r="AC63" i="5"/>
  <c r="AJ202" i="5"/>
  <c r="AJ204" i="5" s="1"/>
  <c r="AJ212" i="5" s="1"/>
  <c r="AK200" i="5"/>
  <c r="AO455" i="5"/>
  <c r="AA23" i="5"/>
  <c r="AM254" i="5"/>
  <c r="AL256" i="5"/>
  <c r="AG212" i="5"/>
  <c r="AJ119" i="5"/>
  <c r="AI121" i="5"/>
  <c r="AI123" i="5" s="1"/>
  <c r="AI131" i="5" s="1"/>
  <c r="AL290" i="5"/>
  <c r="AL284" i="5"/>
  <c r="AL285" i="5" s="1"/>
  <c r="AM278" i="5"/>
  <c r="AL279" i="5"/>
  <c r="AA81" i="5"/>
  <c r="AN335" i="5"/>
  <c r="AM337" i="5"/>
  <c r="AD11" i="5"/>
  <c r="AC13" i="5"/>
  <c r="AC15" i="5" s="1"/>
  <c r="AC23" i="5" s="1"/>
  <c r="AC38" i="5"/>
  <c r="AC40" i="5" s="1"/>
  <c r="AJ229" i="5"/>
  <c r="AK227" i="5"/>
  <c r="AK262" i="5"/>
  <c r="AL260" i="5"/>
  <c r="B21" i="32"/>
  <c r="Z143" i="31" l="1"/>
  <c r="Y149" i="31"/>
  <c r="Y150" i="31" s="1"/>
  <c r="Y155" i="31"/>
  <c r="Y156" i="31" s="1"/>
  <c r="Y144" i="31"/>
  <c r="AJ149" i="5"/>
  <c r="AJ150" i="5" s="1"/>
  <c r="AK143" i="5"/>
  <c r="AJ155" i="5"/>
  <c r="AJ156" i="5" s="1"/>
  <c r="AJ144" i="5"/>
  <c r="AI208" i="31"/>
  <c r="AJ206" i="31"/>
  <c r="AJ208" i="31" s="1"/>
  <c r="AG395" i="31"/>
  <c r="AF397" i="31"/>
  <c r="AG364" i="31"/>
  <c r="AH362" i="31"/>
  <c r="S270" i="31"/>
  <c r="V290" i="31"/>
  <c r="V291" i="31" s="1"/>
  <c r="W278" i="31"/>
  <c r="V284" i="31"/>
  <c r="V285" i="31" s="1"/>
  <c r="V279" i="31"/>
  <c r="AK210" i="5"/>
  <c r="AH311" i="5"/>
  <c r="AF312" i="5"/>
  <c r="AG312" i="5" s="1"/>
  <c r="AG311" i="5"/>
  <c r="R442" i="31"/>
  <c r="AH416" i="31"/>
  <c r="AG418" i="31"/>
  <c r="AN368" i="5"/>
  <c r="AM370" i="5"/>
  <c r="AD252" i="5"/>
  <c r="AE251" i="5"/>
  <c r="AD263" i="5"/>
  <c r="AD264" i="5" s="1"/>
  <c r="AD257" i="5"/>
  <c r="AD258" i="5" s="1"/>
  <c r="AD9" i="5"/>
  <c r="AE8" i="5"/>
  <c r="AD14" i="5"/>
  <c r="AD20" i="5"/>
  <c r="AD21" i="5" s="1"/>
  <c r="U347" i="31"/>
  <c r="U351" i="31" s="1"/>
  <c r="U448" i="31" s="1"/>
  <c r="U225" i="31"/>
  <c r="U236" i="31"/>
  <c r="U237" i="31" s="1"/>
  <c r="U230" i="31"/>
  <c r="U231" i="31" s="1"/>
  <c r="V224" i="31"/>
  <c r="S23" i="31"/>
  <c r="S463" i="31"/>
  <c r="S465" i="31" s="1"/>
  <c r="DV12" i="7"/>
  <c r="R39" i="7"/>
  <c r="T428" i="31"/>
  <c r="T432" i="31" s="1"/>
  <c r="T451" i="31" s="1"/>
  <c r="X386" i="31"/>
  <c r="W392" i="31"/>
  <c r="W393" i="31" s="1"/>
  <c r="W387" i="31"/>
  <c r="W398" i="31"/>
  <c r="W399" i="31" s="1"/>
  <c r="R27" i="31"/>
  <c r="R436" i="31" s="1"/>
  <c r="R456" i="31"/>
  <c r="R457" i="31" s="1"/>
  <c r="T351" i="31"/>
  <c r="T448" i="31" s="1"/>
  <c r="S374" i="31"/>
  <c r="S378" i="31" s="1"/>
  <c r="S449" i="31" s="1"/>
  <c r="AG227" i="31"/>
  <c r="AF229" i="31"/>
  <c r="U430" i="31"/>
  <c r="U295" i="31"/>
  <c r="U106" i="31"/>
  <c r="U108" i="31" s="1"/>
  <c r="U403" i="31"/>
  <c r="U187" i="31"/>
  <c r="U349" i="31"/>
  <c r="U79" i="31"/>
  <c r="U81" i="31" s="1"/>
  <c r="U438" i="31" s="1"/>
  <c r="V25" i="31"/>
  <c r="U268" i="31"/>
  <c r="U241" i="31"/>
  <c r="U52" i="31"/>
  <c r="U54" i="31" s="1"/>
  <c r="U214" i="31"/>
  <c r="U133" i="31"/>
  <c r="U135" i="31" s="1"/>
  <c r="U440" i="31" s="1"/>
  <c r="U160" i="31"/>
  <c r="U162" i="31" s="1"/>
  <c r="U322" i="31"/>
  <c r="U324" i="31" s="1"/>
  <c r="U447" i="31" s="1"/>
  <c r="U376" i="31"/>
  <c r="T438" i="31"/>
  <c r="T135" i="31"/>
  <c r="AB270" i="5"/>
  <c r="AB445" i="5" s="1"/>
  <c r="AL310" i="5"/>
  <c r="AM308" i="5"/>
  <c r="V41" i="31"/>
  <c r="V42" i="31" s="1"/>
  <c r="W35" i="31"/>
  <c r="V47" i="31"/>
  <c r="V48" i="31" s="1"/>
  <c r="V36" i="31"/>
  <c r="AJ428" i="5"/>
  <c r="U263" i="31"/>
  <c r="U264" i="31" s="1"/>
  <c r="V251" i="31"/>
  <c r="U257" i="31"/>
  <c r="U258" i="31" s="1"/>
  <c r="U252" i="31"/>
  <c r="AG343" i="31"/>
  <c r="AH341" i="31"/>
  <c r="AI370" i="31"/>
  <c r="AJ368" i="31"/>
  <c r="AJ370" i="31" s="1"/>
  <c r="Q4" i="11"/>
  <c r="Q45" i="7"/>
  <c r="DU39" i="7"/>
  <c r="AK343" i="5"/>
  <c r="AL341" i="5"/>
  <c r="AL416" i="5"/>
  <c r="AK418" i="5"/>
  <c r="AI179" i="31"/>
  <c r="AH181" i="31"/>
  <c r="AG262" i="31"/>
  <c r="AH260" i="31"/>
  <c r="AG154" i="31"/>
  <c r="AH152" i="31"/>
  <c r="T20" i="31"/>
  <c r="T21" i="31" s="1"/>
  <c r="T14" i="31"/>
  <c r="T15" i="31" s="1"/>
  <c r="U8" i="31"/>
  <c r="T9" i="31"/>
  <c r="V401" i="31"/>
  <c r="U297" i="31"/>
  <c r="U446" i="31" s="1"/>
  <c r="AI175" i="31"/>
  <c r="AJ173" i="31"/>
  <c r="AJ175" i="31" s="1"/>
  <c r="U176" i="31"/>
  <c r="U177" i="31" s="1"/>
  <c r="V170" i="31"/>
  <c r="U171" i="31"/>
  <c r="U359" i="31"/>
  <c r="T371" i="31"/>
  <c r="T372" i="31" s="1"/>
  <c r="T365" i="31"/>
  <c r="T366" i="31" s="1"/>
  <c r="T360" i="31"/>
  <c r="AH146" i="31"/>
  <c r="AG148" i="31"/>
  <c r="AM146" i="5"/>
  <c r="AL148" i="5"/>
  <c r="AH98" i="31"/>
  <c r="AG100" i="31"/>
  <c r="AL391" i="5"/>
  <c r="AM389" i="5"/>
  <c r="AD412" i="31"/>
  <c r="AC412" i="31"/>
  <c r="AF289" i="31"/>
  <c r="AG287" i="31"/>
  <c r="AI94" i="31"/>
  <c r="AJ92" i="31"/>
  <c r="AJ94" i="31" s="1"/>
  <c r="T266" i="31"/>
  <c r="T270" i="31" s="1"/>
  <c r="T445" i="31" s="1"/>
  <c r="AG316" i="31"/>
  <c r="AH314" i="31"/>
  <c r="R444" i="31"/>
  <c r="R378" i="31"/>
  <c r="AH281" i="31"/>
  <c r="AG283" i="31"/>
  <c r="V333" i="31"/>
  <c r="W332" i="31"/>
  <c r="V344" i="31"/>
  <c r="V345" i="31" s="1"/>
  <c r="V338" i="31"/>
  <c r="V339" i="31" s="1"/>
  <c r="U419" i="31"/>
  <c r="U420" i="31" s="1"/>
  <c r="V413" i="31"/>
  <c r="U425" i="31"/>
  <c r="U426" i="31" s="1"/>
  <c r="U414" i="31"/>
  <c r="AE69" i="1"/>
  <c r="AH385" i="5"/>
  <c r="AH387" i="5" s="1"/>
  <c r="AH401" i="5" s="1"/>
  <c r="AH411" i="5"/>
  <c r="AI385" i="5"/>
  <c r="AI387" i="5" s="1"/>
  <c r="AI401" i="5" s="1"/>
  <c r="N451" i="31"/>
  <c r="N452" i="31" s="1"/>
  <c r="O432" i="31"/>
  <c r="O451" i="31" s="1"/>
  <c r="O452" i="31" s="1"/>
  <c r="S432" i="31"/>
  <c r="W89" i="31"/>
  <c r="V90" i="31"/>
  <c r="V101" i="31"/>
  <c r="V102" i="31" s="1"/>
  <c r="V95" i="31"/>
  <c r="V96" i="31" s="1"/>
  <c r="AI308" i="31"/>
  <c r="AH310" i="31"/>
  <c r="U405" i="31"/>
  <c r="U450" i="31" s="1"/>
  <c r="T203" i="31"/>
  <c r="T204" i="31" s="1"/>
  <c r="T212" i="31" s="1"/>
  <c r="T216" i="31" s="1"/>
  <c r="T443" i="31" s="1"/>
  <c r="U197" i="31"/>
  <c r="T209" i="31"/>
  <c r="T210" i="31" s="1"/>
  <c r="T198" i="31"/>
  <c r="AC241" i="5"/>
  <c r="AC268" i="5"/>
  <c r="AC270" i="5" s="1"/>
  <c r="AC445" i="5" s="1"/>
  <c r="AD25" i="5"/>
  <c r="AC349" i="5"/>
  <c r="AC351" i="5" s="1"/>
  <c r="AC448" i="5" s="1"/>
  <c r="AC79" i="5"/>
  <c r="AC322" i="5"/>
  <c r="AC160" i="5"/>
  <c r="AC162" i="5" s="1"/>
  <c r="AC441" i="5" s="1"/>
  <c r="AC403" i="5"/>
  <c r="AC405" i="5" s="1"/>
  <c r="AC450" i="5" s="1"/>
  <c r="AC133" i="5"/>
  <c r="AC135" i="5" s="1"/>
  <c r="AC440" i="5" s="1"/>
  <c r="AC295" i="5"/>
  <c r="AC297" i="5" s="1"/>
  <c r="AC446" i="5" s="1"/>
  <c r="AC187" i="5"/>
  <c r="AC189" i="5" s="1"/>
  <c r="AC442" i="5" s="1"/>
  <c r="AC106" i="5"/>
  <c r="AC108" i="5" s="1"/>
  <c r="AC439" i="5" s="1"/>
  <c r="AC52" i="5"/>
  <c r="AC376" i="5"/>
  <c r="AC378" i="5" s="1"/>
  <c r="AC449" i="5" s="1"/>
  <c r="AC214" i="5"/>
  <c r="AC216" i="5" s="1"/>
  <c r="AC443" i="5" s="1"/>
  <c r="AC430" i="5"/>
  <c r="AC432" i="5" s="1"/>
  <c r="AC451" i="5" s="1"/>
  <c r="W116" i="31"/>
  <c r="V122" i="31"/>
  <c r="V123" i="31" s="1"/>
  <c r="V117" i="31"/>
  <c r="V128" i="31"/>
  <c r="V129" i="31" s="1"/>
  <c r="X108" i="1"/>
  <c r="X133" i="1"/>
  <c r="X50" i="1"/>
  <c r="X130" i="1"/>
  <c r="X125" i="1"/>
  <c r="X44" i="1"/>
  <c r="AC224" i="5"/>
  <c r="AB225" i="5"/>
  <c r="AB236" i="5"/>
  <c r="AB237" i="5" s="1"/>
  <c r="AB230" i="5"/>
  <c r="AB231" i="5" s="1"/>
  <c r="CY8" i="7"/>
  <c r="AN422" i="5"/>
  <c r="AM424" i="5"/>
  <c r="AN397" i="5"/>
  <c r="AO395" i="5"/>
  <c r="AO397" i="5" s="1"/>
  <c r="AM287" i="5"/>
  <c r="AL289" i="5"/>
  <c r="AL291" i="5" s="1"/>
  <c r="AL293" i="5" s="1"/>
  <c r="AJ128" i="5"/>
  <c r="AJ129" i="5" s="1"/>
  <c r="AJ122" i="5"/>
  <c r="AK116" i="5"/>
  <c r="AJ117" i="5"/>
  <c r="N450" i="5"/>
  <c r="T405" i="5"/>
  <c r="T450" i="5" s="1"/>
  <c r="AH311" i="31"/>
  <c r="AG312" i="31"/>
  <c r="S449" i="5"/>
  <c r="T378" i="5"/>
  <c r="T449" i="5" s="1"/>
  <c r="AK425" i="5"/>
  <c r="AK426" i="5" s="1"/>
  <c r="AL413" i="5"/>
  <c r="AK419" i="5"/>
  <c r="AK414" i="5"/>
  <c r="AL175" i="5"/>
  <c r="AM173" i="5"/>
  <c r="AG305" i="31"/>
  <c r="AF306" i="31"/>
  <c r="AA239" i="5"/>
  <c r="AK386" i="5"/>
  <c r="AJ387" i="5"/>
  <c r="AJ392" i="5"/>
  <c r="AJ393" i="5" s="1"/>
  <c r="AJ398" i="5"/>
  <c r="AJ399" i="5" s="1"/>
  <c r="AG317" i="31"/>
  <c r="AF318" i="31"/>
  <c r="S428" i="5"/>
  <c r="T414" i="5"/>
  <c r="T463" i="5" s="1"/>
  <c r="S463" i="5"/>
  <c r="S465" i="5" s="1"/>
  <c r="AH62" i="31"/>
  <c r="AG63" i="31"/>
  <c r="AG77" i="31" s="1"/>
  <c r="Z243" i="5"/>
  <c r="Z444" i="5" s="1"/>
  <c r="Z452" i="5" s="1"/>
  <c r="Z456" i="5"/>
  <c r="Z457" i="5" s="1"/>
  <c r="N6" i="7"/>
  <c r="AM181" i="5"/>
  <c r="AN179" i="5"/>
  <c r="N451" i="5"/>
  <c r="N452" i="5" s="1"/>
  <c r="N3" i="7" s="1"/>
  <c r="AM206" i="5"/>
  <c r="AL208" i="5"/>
  <c r="AK176" i="5"/>
  <c r="AL170" i="5"/>
  <c r="AK182" i="5"/>
  <c r="AK183" i="5" s="1"/>
  <c r="AK171" i="5"/>
  <c r="AK177" i="5"/>
  <c r="AK185" i="5" s="1"/>
  <c r="AJ344" i="5"/>
  <c r="AJ345" i="5" s="1"/>
  <c r="AJ338" i="5"/>
  <c r="AJ339" i="5" s="1"/>
  <c r="AK332" i="5"/>
  <c r="AJ333" i="5"/>
  <c r="AI347" i="5"/>
  <c r="AO125" i="5"/>
  <c r="AO127" i="5" s="1"/>
  <c r="AN127" i="5"/>
  <c r="AE320" i="31"/>
  <c r="AA76" i="1"/>
  <c r="AA26" i="7" s="1"/>
  <c r="AB70" i="1"/>
  <c r="AB72" i="1" s="1"/>
  <c r="AC63" i="1"/>
  <c r="AB65" i="1"/>
  <c r="AA89" i="1"/>
  <c r="Z93" i="1"/>
  <c r="Y36" i="7"/>
  <c r="O12" i="7"/>
  <c r="O40" i="7"/>
  <c r="O13" i="7"/>
  <c r="O50" i="7"/>
  <c r="O37" i="7"/>
  <c r="DS37" i="7" s="1"/>
  <c r="W40" i="7"/>
  <c r="W13" i="7"/>
  <c r="X12" i="7"/>
  <c r="X39" i="7" s="1"/>
  <c r="X4" i="11" s="1"/>
  <c r="X37" i="7"/>
  <c r="AB23" i="16"/>
  <c r="Z142" i="1"/>
  <c r="X144" i="1"/>
  <c r="S46" i="7"/>
  <c r="S11" i="11"/>
  <c r="AA23" i="16"/>
  <c r="Y142" i="1"/>
  <c r="W144" i="1"/>
  <c r="U46" i="7"/>
  <c r="AC318" i="5"/>
  <c r="AC320" i="5" s="1"/>
  <c r="AD317" i="5"/>
  <c r="AC77" i="5"/>
  <c r="AC81" i="5" s="1"/>
  <c r="AC438" i="5" s="1"/>
  <c r="AJ104" i="5"/>
  <c r="AD117" i="1"/>
  <c r="AD119" i="1" s="1"/>
  <c r="AD31" i="7" s="1"/>
  <c r="R19" i="16"/>
  <c r="O174" i="1"/>
  <c r="O130" i="1"/>
  <c r="O125" i="1"/>
  <c r="O122" i="1"/>
  <c r="O133" i="1"/>
  <c r="O111" i="1"/>
  <c r="O108" i="1"/>
  <c r="O50" i="1"/>
  <c r="O47" i="1"/>
  <c r="O38" i="1"/>
  <c r="O114" i="1"/>
  <c r="O94" i="1"/>
  <c r="O77" i="1"/>
  <c r="O44" i="1"/>
  <c r="O41" i="1"/>
  <c r="X182" i="1"/>
  <c r="AC168" i="1"/>
  <c r="AA35" i="1"/>
  <c r="AA10" i="1"/>
  <c r="AB8" i="1"/>
  <c r="AO140" i="1"/>
  <c r="AL28" i="7"/>
  <c r="AM99" i="1"/>
  <c r="AM107" i="1" s="1"/>
  <c r="AO143" i="1"/>
  <c r="Z28" i="1"/>
  <c r="Z32" i="1" s="1"/>
  <c r="Z20" i="7" s="1"/>
  <c r="Z189" i="1"/>
  <c r="Z190" i="1" s="1"/>
  <c r="Z14" i="11" s="1"/>
  <c r="Z37" i="1"/>
  <c r="AL93" i="1"/>
  <c r="AL27" i="7" s="1"/>
  <c r="AM91" i="1"/>
  <c r="AB54" i="5"/>
  <c r="AM260" i="5"/>
  <c r="AL262" i="5"/>
  <c r="AL227" i="5"/>
  <c r="AK229" i="5"/>
  <c r="AC42" i="5"/>
  <c r="AC50" i="5" s="1"/>
  <c r="AC54" i="5" s="1"/>
  <c r="AC437" i="5" s="1"/>
  <c r="AD13" i="5"/>
  <c r="AD15" i="5" s="1"/>
  <c r="AD23" i="5" s="1"/>
  <c r="AD38" i="5"/>
  <c r="AD40" i="5" s="1"/>
  <c r="AE11" i="5"/>
  <c r="AN337" i="5"/>
  <c r="AO335" i="5"/>
  <c r="AO337" i="5" s="1"/>
  <c r="AM256" i="5"/>
  <c r="AN254" i="5"/>
  <c r="AA27" i="5"/>
  <c r="AA456" i="5"/>
  <c r="AA457" i="5" s="1"/>
  <c r="AD74" i="5"/>
  <c r="AD75" i="5" s="1"/>
  <c r="AD68" i="5"/>
  <c r="AD69" i="5" s="1"/>
  <c r="AE62" i="5"/>
  <c r="AD63" i="5"/>
  <c r="Y452" i="5"/>
  <c r="AK365" i="5"/>
  <c r="AK366" i="5" s="1"/>
  <c r="AK371" i="5"/>
  <c r="AK372" i="5" s="1"/>
  <c r="AL359" i="5"/>
  <c r="AK360" i="5"/>
  <c r="AK101" i="5"/>
  <c r="AK102" i="5" s="1"/>
  <c r="AK95" i="5"/>
  <c r="AK96" i="5" s="1"/>
  <c r="AL89" i="5"/>
  <c r="AK90" i="5"/>
  <c r="AL198" i="5"/>
  <c r="AL209" i="5"/>
  <c r="AL210" i="5" s="1"/>
  <c r="AL203" i="5"/>
  <c r="AM197" i="5"/>
  <c r="AD36" i="5"/>
  <c r="AD41" i="5"/>
  <c r="AD47" i="5"/>
  <c r="AD48" i="5" s="1"/>
  <c r="AE35" i="5"/>
  <c r="AG131" i="5"/>
  <c r="AM235" i="5"/>
  <c r="AN233" i="5"/>
  <c r="AC27" i="5"/>
  <c r="AC436" i="5" s="1"/>
  <c r="AA438" i="5"/>
  <c r="AM290" i="5"/>
  <c r="AM284" i="5"/>
  <c r="AM285" i="5" s="1"/>
  <c r="AN278" i="5"/>
  <c r="AM279" i="5"/>
  <c r="AK119" i="5"/>
  <c r="AJ121" i="5"/>
  <c r="AJ123" i="5" s="1"/>
  <c r="AL200" i="5"/>
  <c r="AK202" i="5"/>
  <c r="AK204" i="5" s="1"/>
  <c r="AK212" i="5" s="1"/>
  <c r="AN92" i="5"/>
  <c r="AM94" i="5"/>
  <c r="AN98" i="5"/>
  <c r="AM100" i="5"/>
  <c r="AK305" i="5"/>
  <c r="AJ306" i="5"/>
  <c r="DS13" i="7"/>
  <c r="DS3" i="7"/>
  <c r="DS50" i="7" s="1"/>
  <c r="DG18" i="7"/>
  <c r="U437" i="31" l="1"/>
  <c r="U439" i="31"/>
  <c r="V197" i="31"/>
  <c r="U203" i="31"/>
  <c r="U204" i="31" s="1"/>
  <c r="U209" i="31"/>
  <c r="U210" i="31" s="1"/>
  <c r="U198" i="31"/>
  <c r="U212" i="31" s="1"/>
  <c r="AI310" i="31"/>
  <c r="AJ308" i="31"/>
  <c r="AJ310" i="31" s="1"/>
  <c r="X89" i="31"/>
  <c r="W90" i="31"/>
  <c r="W104" i="31" s="1"/>
  <c r="W101" i="31"/>
  <c r="W102" i="31" s="1"/>
  <c r="W95" i="31"/>
  <c r="W96" i="31" s="1"/>
  <c r="U428" i="31"/>
  <c r="AH262" i="31"/>
  <c r="AI260" i="31"/>
  <c r="AC324" i="5"/>
  <c r="AC447" i="5" s="1"/>
  <c r="W117" i="31"/>
  <c r="W131" i="31" s="1"/>
  <c r="W128" i="31"/>
  <c r="W129" i="31" s="1"/>
  <c r="W122" i="31"/>
  <c r="W123" i="31" s="1"/>
  <c r="X116" i="31"/>
  <c r="X332" i="31"/>
  <c r="W344" i="31"/>
  <c r="W345" i="31" s="1"/>
  <c r="W338" i="31"/>
  <c r="W339" i="31" s="1"/>
  <c r="W333" i="31"/>
  <c r="W347" i="31" s="1"/>
  <c r="AM391" i="5"/>
  <c r="AN389" i="5"/>
  <c r="AH100" i="31"/>
  <c r="AI98" i="31"/>
  <c r="V176" i="31"/>
  <c r="V177" i="31" s="1"/>
  <c r="W170" i="31"/>
  <c r="V171" i="31"/>
  <c r="AM416" i="5"/>
  <c r="AL418" i="5"/>
  <c r="Q151" i="1"/>
  <c r="DU45" i="7"/>
  <c r="AI341" i="31"/>
  <c r="AH343" i="31"/>
  <c r="V263" i="31"/>
  <c r="V264" i="31" s="1"/>
  <c r="W251" i="31"/>
  <c r="V257" i="31"/>
  <c r="V258" i="31" s="1"/>
  <c r="V252" i="31"/>
  <c r="V50" i="31"/>
  <c r="U441" i="31"/>
  <c r="Y386" i="31"/>
  <c r="X398" i="31"/>
  <c r="X399" i="31" s="1"/>
  <c r="X392" i="31"/>
  <c r="X393" i="31" s="1"/>
  <c r="X387" i="31"/>
  <c r="AH312" i="5"/>
  <c r="AI311" i="5"/>
  <c r="W290" i="31"/>
  <c r="W291" i="31" s="1"/>
  <c r="W284" i="31"/>
  <c r="W285" i="31" s="1"/>
  <c r="X278" i="31"/>
  <c r="W279" i="31"/>
  <c r="AH364" i="31"/>
  <c r="AI362" i="31"/>
  <c r="AL143" i="5"/>
  <c r="AK144" i="5"/>
  <c r="AK149" i="5"/>
  <c r="AK150" i="5" s="1"/>
  <c r="AK158" i="5" s="1"/>
  <c r="AK155" i="5"/>
  <c r="AK156" i="5" s="1"/>
  <c r="AG289" i="31"/>
  <c r="AH287" i="31"/>
  <c r="AM148" i="5"/>
  <c r="AN146" i="5"/>
  <c r="S451" i="31"/>
  <c r="AF69" i="1"/>
  <c r="V419" i="31"/>
  <c r="V420" i="31" s="1"/>
  <c r="W413" i="31"/>
  <c r="V425" i="31"/>
  <c r="V426" i="31" s="1"/>
  <c r="V414" i="31"/>
  <c r="V347" i="31"/>
  <c r="V351" i="31" s="1"/>
  <c r="V448" i="31" s="1"/>
  <c r="R449" i="31"/>
  <c r="R452" i="31" s="1"/>
  <c r="AH316" i="31"/>
  <c r="AI314" i="31"/>
  <c r="AH148" i="31"/>
  <c r="AI146" i="31"/>
  <c r="U365" i="31"/>
  <c r="U366" i="31" s="1"/>
  <c r="V359" i="31"/>
  <c r="U371" i="31"/>
  <c r="U372" i="31" s="1"/>
  <c r="U360" i="31"/>
  <c r="U374" i="31" s="1"/>
  <c r="U378" i="31" s="1"/>
  <c r="U449" i="31" s="1"/>
  <c r="T463" i="31"/>
  <c r="T465" i="31" s="1"/>
  <c r="T23" i="31"/>
  <c r="AI152" i="31"/>
  <c r="AH154" i="31"/>
  <c r="AL343" i="5"/>
  <c r="AM341" i="5"/>
  <c r="AN308" i="5"/>
  <c r="AM310" i="5"/>
  <c r="S27" i="31"/>
  <c r="S456" i="31"/>
  <c r="S457" i="31" s="1"/>
  <c r="U239" i="31"/>
  <c r="AN370" i="5"/>
  <c r="AO368" i="5"/>
  <c r="AO370" i="5" s="1"/>
  <c r="AJ158" i="5"/>
  <c r="Z144" i="31"/>
  <c r="AA143" i="31"/>
  <c r="Z155" i="31"/>
  <c r="Z156" i="31" s="1"/>
  <c r="Z149" i="31"/>
  <c r="Z150" i="31" s="1"/>
  <c r="AI281" i="31"/>
  <c r="AH283" i="31"/>
  <c r="U185" i="31"/>
  <c r="T440" i="31"/>
  <c r="AH227" i="31"/>
  <c r="AG229" i="31"/>
  <c r="AD266" i="5"/>
  <c r="AH418" i="31"/>
  <c r="AI416" i="31"/>
  <c r="S445" i="31"/>
  <c r="AG397" i="31"/>
  <c r="AH395" i="31"/>
  <c r="AK374" i="5"/>
  <c r="AJ131" i="5"/>
  <c r="AK420" i="5"/>
  <c r="V131" i="31"/>
  <c r="AD160" i="5"/>
  <c r="AD162" i="5" s="1"/>
  <c r="AD441" i="5" s="1"/>
  <c r="AD187" i="5"/>
  <c r="AD189" i="5" s="1"/>
  <c r="AD442" i="5" s="1"/>
  <c r="AD241" i="5"/>
  <c r="AD295" i="5"/>
  <c r="AD297" i="5" s="1"/>
  <c r="AD446" i="5" s="1"/>
  <c r="AD268" i="5"/>
  <c r="AD270" i="5" s="1"/>
  <c r="AD445" i="5" s="1"/>
  <c r="AD349" i="5"/>
  <c r="AD351" i="5" s="1"/>
  <c r="AD448" i="5" s="1"/>
  <c r="AD376" i="5"/>
  <c r="AD378" i="5" s="1"/>
  <c r="AD449" i="5" s="1"/>
  <c r="AD403" i="5"/>
  <c r="AD405" i="5" s="1"/>
  <c r="AD450" i="5" s="1"/>
  <c r="AD430" i="5"/>
  <c r="AD432" i="5" s="1"/>
  <c r="AD451" i="5" s="1"/>
  <c r="AD214" i="5"/>
  <c r="AD216" i="5" s="1"/>
  <c r="AD443" i="5" s="1"/>
  <c r="AD133" i="5"/>
  <c r="AD135" i="5" s="1"/>
  <c r="AD440" i="5" s="1"/>
  <c r="AE25" i="5"/>
  <c r="AD79" i="5"/>
  <c r="AD81" i="5" s="1"/>
  <c r="AD106" i="5"/>
  <c r="AD108" i="5" s="1"/>
  <c r="AD439" i="5" s="1"/>
  <c r="AD52" i="5"/>
  <c r="AD322" i="5"/>
  <c r="V104" i="31"/>
  <c r="V108" i="31" s="1"/>
  <c r="V439" i="31" s="1"/>
  <c r="AH412" i="5"/>
  <c r="AH414" i="5" s="1"/>
  <c r="AH428" i="5" s="1"/>
  <c r="AI412" i="5"/>
  <c r="AI414" i="5" s="1"/>
  <c r="AI428" i="5" s="1"/>
  <c r="T374" i="31"/>
  <c r="U20" i="31"/>
  <c r="U21" i="31" s="1"/>
  <c r="U14" i="31"/>
  <c r="U15" i="31" s="1"/>
  <c r="V8" i="31"/>
  <c r="U9" i="31"/>
  <c r="AJ179" i="31"/>
  <c r="AJ181" i="31" s="1"/>
  <c r="AI181" i="31"/>
  <c r="U266" i="31"/>
  <c r="U270" i="31" s="1"/>
  <c r="U445" i="31" s="1"/>
  <c r="W36" i="31"/>
  <c r="W50" i="31" s="1"/>
  <c r="X35" i="31"/>
  <c r="W41" i="31"/>
  <c r="W42" i="31" s="1"/>
  <c r="W47" i="31"/>
  <c r="W48" i="31" s="1"/>
  <c r="U216" i="31"/>
  <c r="U443" i="31" s="1"/>
  <c r="V349" i="31"/>
  <c r="V241" i="31"/>
  <c r="V187" i="31"/>
  <c r="W25" i="31"/>
  <c r="V403" i="31"/>
  <c r="V405" i="31" s="1"/>
  <c r="V295" i="31"/>
  <c r="V160" i="31"/>
  <c r="V162" i="31" s="1"/>
  <c r="V441" i="31" s="1"/>
  <c r="V79" i="31"/>
  <c r="V81" i="31" s="1"/>
  <c r="V438" i="31" s="1"/>
  <c r="V376" i="31"/>
  <c r="V268" i="31"/>
  <c r="V106" i="31"/>
  <c r="V52" i="31"/>
  <c r="V430" i="31"/>
  <c r="V214" i="31"/>
  <c r="V322" i="31"/>
  <c r="V324" i="31" s="1"/>
  <c r="V133" i="31"/>
  <c r="W401" i="31"/>
  <c r="DV39" i="7"/>
  <c r="R4" i="11"/>
  <c r="R45" i="7"/>
  <c r="V225" i="31"/>
  <c r="V230" i="31"/>
  <c r="V231" i="31" s="1"/>
  <c r="W224" i="31"/>
  <c r="V236" i="31"/>
  <c r="V237" i="31" s="1"/>
  <c r="AE14" i="5"/>
  <c r="AE20" i="5"/>
  <c r="AE21" i="5" s="1"/>
  <c r="AF8" i="5"/>
  <c r="AE9" i="5"/>
  <c r="AE252" i="5"/>
  <c r="AE266" i="5" s="1"/>
  <c r="AE257" i="5"/>
  <c r="AE258" i="5" s="1"/>
  <c r="AE263" i="5"/>
  <c r="AE264" i="5" s="1"/>
  <c r="AF251" i="5"/>
  <c r="V293" i="31"/>
  <c r="Y158" i="31"/>
  <c r="AK344" i="5"/>
  <c r="AK345" i="5" s="1"/>
  <c r="AK333" i="5"/>
  <c r="AK338" i="5"/>
  <c r="AK339" i="5" s="1"/>
  <c r="AL332" i="5"/>
  <c r="AL182" i="5"/>
  <c r="AL183" i="5" s="1"/>
  <c r="AM170" i="5"/>
  <c r="AL176" i="5"/>
  <c r="AL177" i="5" s="1"/>
  <c r="AL185" i="5" s="1"/>
  <c r="AL171" i="5"/>
  <c r="AN181" i="5"/>
  <c r="AO179" i="5"/>
  <c r="AO181" i="5" s="1"/>
  <c r="N10" i="7"/>
  <c r="N12" i="7" s="1"/>
  <c r="DR12" i="7" s="1"/>
  <c r="DR6" i="7"/>
  <c r="DR10" i="7" s="1"/>
  <c r="Z6" i="7"/>
  <c r="Z10" i="7" s="1"/>
  <c r="S8" i="7"/>
  <c r="T465" i="5"/>
  <c r="S432" i="5"/>
  <c r="S456" i="5"/>
  <c r="S457" i="5" s="1"/>
  <c r="S178" i="1" s="1"/>
  <c r="T428" i="5"/>
  <c r="T456" i="5" s="1"/>
  <c r="T457" i="5" s="1"/>
  <c r="AH317" i="31"/>
  <c r="AG318" i="31"/>
  <c r="AK387" i="5"/>
  <c r="AK392" i="5"/>
  <c r="AK393" i="5" s="1"/>
  <c r="AL386" i="5"/>
  <c r="AK398" i="5"/>
  <c r="AK399" i="5" s="1"/>
  <c r="AA243" i="5"/>
  <c r="AH305" i="31"/>
  <c r="AG306" i="31"/>
  <c r="AG320" i="31" s="1"/>
  <c r="AN173" i="5"/>
  <c r="AM175" i="5"/>
  <c r="AL116" i="5"/>
  <c r="AK128" i="5"/>
  <c r="AK129" i="5" s="1"/>
  <c r="AK122" i="5"/>
  <c r="AK117" i="5"/>
  <c r="AN287" i="5"/>
  <c r="AM289" i="5"/>
  <c r="AM291" i="5" s="1"/>
  <c r="AM293" i="5" s="1"/>
  <c r="AN424" i="5"/>
  <c r="AO422" i="5"/>
  <c r="AO424" i="5" s="1"/>
  <c r="DR8" i="7"/>
  <c r="AC236" i="5"/>
  <c r="AC237" i="5" s="1"/>
  <c r="AC230" i="5"/>
  <c r="AC231" i="5" s="1"/>
  <c r="AD224" i="5"/>
  <c r="AC225" i="5"/>
  <c r="AJ347" i="5"/>
  <c r="AM208" i="5"/>
  <c r="AN206" i="5"/>
  <c r="N13" i="7"/>
  <c r="DR13" i="7" s="1"/>
  <c r="N50" i="7"/>
  <c r="N174" i="1"/>
  <c r="N182" i="1" s="1"/>
  <c r="N125" i="1"/>
  <c r="N114" i="1"/>
  <c r="N77" i="1"/>
  <c r="N41" i="1"/>
  <c r="N108" i="1"/>
  <c r="N47" i="1"/>
  <c r="N37" i="7"/>
  <c r="DR37" i="7" s="1"/>
  <c r="N40" i="7"/>
  <c r="N133" i="1"/>
  <c r="N130" i="1"/>
  <c r="N122" i="1"/>
  <c r="N94" i="1"/>
  <c r="N44" i="1"/>
  <c r="N111" i="1"/>
  <c r="N50" i="1"/>
  <c r="N38" i="1"/>
  <c r="DR3" i="7"/>
  <c r="DR50" i="7" s="1"/>
  <c r="Z3" i="7"/>
  <c r="Z94" i="1" s="1"/>
  <c r="Z466" i="5"/>
  <c r="AI62" i="31"/>
  <c r="AH63" i="31"/>
  <c r="AH77" i="31" s="1"/>
  <c r="AJ401" i="5"/>
  <c r="AF320" i="31"/>
  <c r="AK428" i="5"/>
  <c r="AL419" i="5"/>
  <c r="AM413" i="5"/>
  <c r="AL425" i="5"/>
  <c r="AL426" i="5" s="1"/>
  <c r="AL414" i="5"/>
  <c r="AI311" i="31"/>
  <c r="AH312" i="31"/>
  <c r="AB239" i="5"/>
  <c r="AB463" i="5"/>
  <c r="AB465" i="5" s="1"/>
  <c r="AB8" i="7" s="1"/>
  <c r="AB76" i="1"/>
  <c r="AB26" i="7" s="1"/>
  <c r="AC70" i="1"/>
  <c r="AC72" i="1" s="1"/>
  <c r="AD63" i="1"/>
  <c r="AC65" i="1"/>
  <c r="Z27" i="7"/>
  <c r="Z178" i="1" s="1"/>
  <c r="AB89" i="1"/>
  <c r="AA93" i="1"/>
  <c r="AA27" i="7" s="1"/>
  <c r="AA178" i="1" s="1"/>
  <c r="AA28" i="1"/>
  <c r="AA32" i="1" s="1"/>
  <c r="AA20" i="7" s="1"/>
  <c r="AA16" i="7"/>
  <c r="Z38" i="1"/>
  <c r="Z21" i="7"/>
  <c r="Y3" i="7"/>
  <c r="Y174" i="1" s="1"/>
  <c r="Y466" i="5"/>
  <c r="X13" i="7"/>
  <c r="X40" i="7"/>
  <c r="AA6" i="7"/>
  <c r="AA10" i="7" s="1"/>
  <c r="R21" i="16"/>
  <c r="R24" i="16" s="1"/>
  <c r="Y144" i="1"/>
  <c r="Z144" i="1"/>
  <c r="S12" i="11"/>
  <c r="T11" i="11"/>
  <c r="T12" i="11" s="1"/>
  <c r="AD23" i="16"/>
  <c r="AF23" i="16" s="1"/>
  <c r="AB142" i="1"/>
  <c r="AC23" i="16"/>
  <c r="AA142" i="1"/>
  <c r="AA144" i="1" s="1"/>
  <c r="DD46" i="7"/>
  <c r="DE46" i="7" s="1"/>
  <c r="T46" i="7"/>
  <c r="AD77" i="5"/>
  <c r="AE317" i="5"/>
  <c r="AD318" i="5"/>
  <c r="AD320" i="5" s="1"/>
  <c r="AD324" i="5" s="1"/>
  <c r="AD447" i="5" s="1"/>
  <c r="Y130" i="1"/>
  <c r="Y111" i="1"/>
  <c r="Y125" i="1"/>
  <c r="Y47" i="1"/>
  <c r="Y122" i="1"/>
  <c r="Y94" i="1"/>
  <c r="Y108" i="1"/>
  <c r="O182" i="1"/>
  <c r="Y38" i="1"/>
  <c r="AD168" i="1"/>
  <c r="AE117" i="1"/>
  <c r="AE119" i="1" s="1"/>
  <c r="AE31" i="7" s="1"/>
  <c r="Q179" i="1"/>
  <c r="Q19" i="16" s="1"/>
  <c r="AB35" i="1"/>
  <c r="AC8" i="1"/>
  <c r="AB10" i="1"/>
  <c r="AB16" i="7" s="1"/>
  <c r="AA189" i="1"/>
  <c r="AA190" i="1" s="1"/>
  <c r="AA14" i="11" s="1"/>
  <c r="AA37" i="1"/>
  <c r="AA21" i="7" s="1"/>
  <c r="AN91" i="1"/>
  <c r="AM93" i="1"/>
  <c r="AM27" i="7" s="1"/>
  <c r="AM28" i="7"/>
  <c r="AN99" i="1"/>
  <c r="AN107" i="1" s="1"/>
  <c r="DS12" i="7"/>
  <c r="AL305" i="5"/>
  <c r="AK306" i="5"/>
  <c r="AO98" i="5"/>
  <c r="AO100" i="5" s="1"/>
  <c r="AN100" i="5"/>
  <c r="AO92" i="5"/>
  <c r="AO94" i="5" s="1"/>
  <c r="AN94" i="5"/>
  <c r="AM209" i="5"/>
  <c r="AM210" i="5" s="1"/>
  <c r="AM203" i="5"/>
  <c r="AN197" i="5"/>
  <c r="AM198" i="5"/>
  <c r="AK104" i="5"/>
  <c r="AL371" i="5"/>
  <c r="AL372" i="5" s="1"/>
  <c r="AL365" i="5"/>
  <c r="AL366" i="5" s="1"/>
  <c r="AM359" i="5"/>
  <c r="AL360" i="5"/>
  <c r="AE74" i="5"/>
  <c r="AE75" i="5" s="1"/>
  <c r="AE68" i="5"/>
  <c r="AE69" i="5" s="1"/>
  <c r="AE63" i="5"/>
  <c r="AF62" i="5"/>
  <c r="AA436" i="5"/>
  <c r="AD42" i="5"/>
  <c r="AD50" i="5" s="1"/>
  <c r="AN260" i="5"/>
  <c r="AM262" i="5"/>
  <c r="O9" i="3"/>
  <c r="O20" i="25"/>
  <c r="O52" i="25"/>
  <c r="O3" i="18"/>
  <c r="O6" i="18" s="1"/>
  <c r="O22" i="25"/>
  <c r="O32" i="25"/>
  <c r="AL202" i="5"/>
  <c r="AL204" i="5" s="1"/>
  <c r="AL212" i="5" s="1"/>
  <c r="AM200" i="5"/>
  <c r="AL119" i="5"/>
  <c r="AK121" i="5"/>
  <c r="AK123" i="5" s="1"/>
  <c r="AK131" i="5" s="1"/>
  <c r="AN290" i="5"/>
  <c r="AN284" i="5"/>
  <c r="AN285" i="5" s="1"/>
  <c r="AO278" i="5"/>
  <c r="AN279" i="5"/>
  <c r="AO233" i="5"/>
  <c r="AO235" i="5" s="1"/>
  <c r="AN235" i="5"/>
  <c r="AF35" i="5"/>
  <c r="AH35" i="5" s="1"/>
  <c r="AE47" i="5"/>
  <c r="AE48" i="5" s="1"/>
  <c r="AE41" i="5"/>
  <c r="AE36" i="5"/>
  <c r="AL101" i="5"/>
  <c r="AL102" i="5" s="1"/>
  <c r="AL95" i="5"/>
  <c r="AL96" i="5" s="1"/>
  <c r="AM89" i="5"/>
  <c r="AL90" i="5"/>
  <c r="AO254" i="5"/>
  <c r="AO256" i="5" s="1"/>
  <c r="AN256" i="5"/>
  <c r="AF11" i="5"/>
  <c r="AE38" i="5"/>
  <c r="AE40" i="5" s="1"/>
  <c r="AE13" i="5"/>
  <c r="AE15" i="5" s="1"/>
  <c r="AE23" i="5" s="1"/>
  <c r="AD27" i="5"/>
  <c r="AD436" i="5" s="1"/>
  <c r="AL229" i="5"/>
  <c r="AM227" i="5"/>
  <c r="AB437" i="5"/>
  <c r="DZ18" i="7"/>
  <c r="DH18" i="7"/>
  <c r="V450" i="31" l="1"/>
  <c r="AH251" i="5"/>
  <c r="AF252" i="5"/>
  <c r="AF266" i="5" s="1"/>
  <c r="AG266" i="5" s="1"/>
  <c r="AG251" i="5"/>
  <c r="AF263" i="5"/>
  <c r="AF264" i="5" s="1"/>
  <c r="AG264" i="5" s="1"/>
  <c r="AF257" i="5"/>
  <c r="AF258" i="5" s="1"/>
  <c r="AG258" i="5" s="1"/>
  <c r="DV45" i="7"/>
  <c r="R151" i="1"/>
  <c r="W430" i="31"/>
  <c r="W268" i="31"/>
  <c r="X25" i="31"/>
  <c r="W349" i="31"/>
  <c r="W79" i="31"/>
  <c r="W81" i="31" s="1"/>
  <c r="W438" i="31" s="1"/>
  <c r="W295" i="31"/>
  <c r="W106" i="31"/>
  <c r="W108" i="31" s="1"/>
  <c r="W439" i="31" s="1"/>
  <c r="W403" i="31"/>
  <c r="W187" i="31"/>
  <c r="W133" i="31"/>
  <c r="W376" i="31"/>
  <c r="W241" i="31"/>
  <c r="W160" i="31"/>
  <c r="W162" i="31" s="1"/>
  <c r="W52" i="31"/>
  <c r="W214" i="31"/>
  <c r="W322" i="31"/>
  <c r="W324" i="31" s="1"/>
  <c r="W447" i="31" s="1"/>
  <c r="W54" i="31"/>
  <c r="W437" i="31" s="1"/>
  <c r="T378" i="31"/>
  <c r="U189" i="31"/>
  <c r="AJ146" i="31"/>
  <c r="AJ148" i="31" s="1"/>
  <c r="AI148" i="31"/>
  <c r="AH289" i="31"/>
  <c r="AI287" i="31"/>
  <c r="V266" i="31"/>
  <c r="X344" i="31"/>
  <c r="X345" i="31" s="1"/>
  <c r="X338" i="31"/>
  <c r="X339" i="31" s="1"/>
  <c r="Y332" i="31"/>
  <c r="X333" i="31"/>
  <c r="AL420" i="5"/>
  <c r="AL428" i="5" s="1"/>
  <c r="AJ281" i="31"/>
  <c r="AJ283" i="31" s="1"/>
  <c r="AI283" i="31"/>
  <c r="Z158" i="31"/>
  <c r="U243" i="31"/>
  <c r="T27" i="31"/>
  <c r="T436" i="31" s="1"/>
  <c r="T456" i="31"/>
  <c r="T457" i="31" s="1"/>
  <c r="V371" i="31"/>
  <c r="V372" i="31" s="1"/>
  <c r="V365" i="31"/>
  <c r="V366" i="31" s="1"/>
  <c r="W359" i="31"/>
  <c r="V360" i="31"/>
  <c r="AG69" i="1"/>
  <c r="AH69" i="1" s="1"/>
  <c r="AO146" i="5"/>
  <c r="AO148" i="5" s="1"/>
  <c r="AN148" i="5"/>
  <c r="AL149" i="5"/>
  <c r="AL150" i="5" s="1"/>
  <c r="AL158" i="5" s="1"/>
  <c r="AL155" i="5"/>
  <c r="AL156" i="5" s="1"/>
  <c r="AL144" i="5"/>
  <c r="AM143" i="5"/>
  <c r="X290" i="31"/>
  <c r="X291" i="31" s="1"/>
  <c r="X284" i="31"/>
  <c r="X285" i="31" s="1"/>
  <c r="Y278" i="31"/>
  <c r="X279" i="31"/>
  <c r="Y398" i="31"/>
  <c r="Y399" i="31" s="1"/>
  <c r="Y392" i="31"/>
  <c r="Y393" i="31" s="1"/>
  <c r="Z386" i="31"/>
  <c r="Y387" i="31"/>
  <c r="W252" i="31"/>
  <c r="W263" i="31"/>
  <c r="W264" i="31" s="1"/>
  <c r="W257" i="31"/>
  <c r="W258" i="31" s="1"/>
  <c r="X251" i="31"/>
  <c r="V185" i="31"/>
  <c r="V189" i="31" s="1"/>
  <c r="V442" i="31" s="1"/>
  <c r="AI262" i="31"/>
  <c r="AJ260" i="31"/>
  <c r="AJ262" i="31" s="1"/>
  <c r="AK401" i="5"/>
  <c r="V297" i="31"/>
  <c r="V239" i="31"/>
  <c r="V243" i="31" s="1"/>
  <c r="V444" i="31" s="1"/>
  <c r="W405" i="31"/>
  <c r="W450" i="31" s="1"/>
  <c r="X41" i="31"/>
  <c r="X42" i="31" s="1"/>
  <c r="X36" i="31"/>
  <c r="Y35" i="31"/>
  <c r="X47" i="31"/>
  <c r="X48" i="31" s="1"/>
  <c r="AH229" i="31"/>
  <c r="AI227" i="31"/>
  <c r="AI316" i="31"/>
  <c r="AJ314" i="31"/>
  <c r="AJ316" i="31" s="1"/>
  <c r="W419" i="31"/>
  <c r="W420" i="31" s="1"/>
  <c r="W425" i="31"/>
  <c r="W426" i="31" s="1"/>
  <c r="X413" i="31"/>
  <c r="W414" i="31"/>
  <c r="AI364" i="31"/>
  <c r="AJ362" i="31"/>
  <c r="AJ364" i="31" s="1"/>
  <c r="X401" i="31"/>
  <c r="V54" i="31"/>
  <c r="W176" i="31"/>
  <c r="W177" i="31" s="1"/>
  <c r="X170" i="31"/>
  <c r="W171" i="31"/>
  <c r="AO389" i="5"/>
  <c r="AO391" i="5" s="1"/>
  <c r="AN391" i="5"/>
  <c r="V209" i="31"/>
  <c r="V210" i="31" s="1"/>
  <c r="W197" i="31"/>
  <c r="V203" i="31"/>
  <c r="V204" i="31" s="1"/>
  <c r="V198" i="31"/>
  <c r="V212" i="31" s="1"/>
  <c r="V216" i="31" s="1"/>
  <c r="V443" i="31" s="1"/>
  <c r="U463" i="31"/>
  <c r="U465" i="31" s="1"/>
  <c r="U23" i="31"/>
  <c r="AN310" i="5"/>
  <c r="AO308" i="5"/>
  <c r="AO310" i="5" s="1"/>
  <c r="AJ152" i="31"/>
  <c r="AJ154" i="31" s="1"/>
  <c r="AI154" i="31"/>
  <c r="W135" i="31"/>
  <c r="W440" i="31" s="1"/>
  <c r="AK347" i="5"/>
  <c r="AF14" i="5"/>
  <c r="AF9" i="5"/>
  <c r="AG9" i="5" s="1"/>
  <c r="AF20" i="5"/>
  <c r="AF21" i="5" s="1"/>
  <c r="AG21" i="5" s="1"/>
  <c r="AG8" i="5"/>
  <c r="X224" i="31"/>
  <c r="W230" i="31"/>
  <c r="W231" i="31" s="1"/>
  <c r="W236" i="31"/>
  <c r="W237" i="31" s="1"/>
  <c r="W225" i="31"/>
  <c r="V447" i="31"/>
  <c r="W8" i="31"/>
  <c r="V9" i="31"/>
  <c r="V20" i="31"/>
  <c r="V21" i="31" s="1"/>
  <c r="V14" i="31"/>
  <c r="V15" i="31" s="1"/>
  <c r="AE133" i="5"/>
  <c r="AE135" i="5" s="1"/>
  <c r="AE214" i="5"/>
  <c r="AE216" i="5" s="1"/>
  <c r="AE443" i="5" s="1"/>
  <c r="AE187" i="5"/>
  <c r="AE189" i="5" s="1"/>
  <c r="AE160" i="5"/>
  <c r="AE162" i="5" s="1"/>
  <c r="AE441" i="5" s="1"/>
  <c r="AE79" i="5"/>
  <c r="AE241" i="5"/>
  <c r="AE376" i="5"/>
  <c r="AE378" i="5" s="1"/>
  <c r="AE449" i="5" s="1"/>
  <c r="AE295" i="5"/>
  <c r="AE297" i="5" s="1"/>
  <c r="AE446" i="5" s="1"/>
  <c r="AE268" i="5"/>
  <c r="AE270" i="5" s="1"/>
  <c r="AE445" i="5" s="1"/>
  <c r="AE322" i="5"/>
  <c r="AE52" i="5"/>
  <c r="AE106" i="5"/>
  <c r="AE108" i="5" s="1"/>
  <c r="AE430" i="5"/>
  <c r="AE432" i="5" s="1"/>
  <c r="AE451" i="5" s="1"/>
  <c r="AE403" i="5"/>
  <c r="AE405" i="5" s="1"/>
  <c r="AE349" i="5"/>
  <c r="AE351" i="5" s="1"/>
  <c r="AF25" i="5"/>
  <c r="V135" i="31"/>
  <c r="AI395" i="31"/>
  <c r="AH397" i="31"/>
  <c r="AJ416" i="31"/>
  <c r="AJ418" i="31" s="1"/>
  <c r="AI418" i="31"/>
  <c r="AC143" i="31"/>
  <c r="AB143" i="31"/>
  <c r="AA155" i="31"/>
  <c r="AA156" i="31" s="1"/>
  <c r="AB156" i="31" s="1"/>
  <c r="AA149" i="31"/>
  <c r="AA150" i="31" s="1"/>
  <c r="AB150" i="31" s="1"/>
  <c r="AA144" i="31"/>
  <c r="S436" i="31"/>
  <c r="AN341" i="5"/>
  <c r="AM343" i="5"/>
  <c r="V428" i="31"/>
  <c r="V432" i="31" s="1"/>
  <c r="V451" i="31" s="1"/>
  <c r="W293" i="31"/>
  <c r="W297" i="31" s="1"/>
  <c r="W446" i="31" s="1"/>
  <c r="AI312" i="5"/>
  <c r="AJ311" i="5"/>
  <c r="AI343" i="31"/>
  <c r="AJ341" i="31"/>
  <c r="AJ343" i="31" s="1"/>
  <c r="AM418" i="5"/>
  <c r="AN416" i="5"/>
  <c r="AJ98" i="31"/>
  <c r="AJ100" i="31" s="1"/>
  <c r="AI100" i="31"/>
  <c r="W351" i="31"/>
  <c r="W448" i="31" s="1"/>
  <c r="X122" i="31"/>
  <c r="X123" i="31" s="1"/>
  <c r="X117" i="31"/>
  <c r="Y116" i="31"/>
  <c r="X128" i="31"/>
  <c r="X129" i="31" s="1"/>
  <c r="U432" i="31"/>
  <c r="X95" i="31"/>
  <c r="X96" i="31" s="1"/>
  <c r="X101" i="31"/>
  <c r="X102" i="31" s="1"/>
  <c r="Y89" i="31"/>
  <c r="X90" i="31"/>
  <c r="Y77" i="1"/>
  <c r="Y133" i="1"/>
  <c r="Y50" i="1"/>
  <c r="Y41" i="1"/>
  <c r="Y114" i="1"/>
  <c r="Y44" i="1"/>
  <c r="AD142" i="1"/>
  <c r="AM425" i="5"/>
  <c r="AM426" i="5" s="1"/>
  <c r="AM419" i="5"/>
  <c r="AN413" i="5"/>
  <c r="AM414" i="5"/>
  <c r="AJ62" i="31"/>
  <c r="AJ63" i="31" s="1"/>
  <c r="AJ77" i="31" s="1"/>
  <c r="AI63" i="31"/>
  <c r="AI77" i="31" s="1"/>
  <c r="Z130" i="1"/>
  <c r="Z50" i="1"/>
  <c r="Z133" i="1"/>
  <c r="Z44" i="1"/>
  <c r="Z125" i="1"/>
  <c r="Z108" i="1"/>
  <c r="Z174" i="1"/>
  <c r="Z182" i="1" s="1"/>
  <c r="Z47" i="1"/>
  <c r="Z114" i="1"/>
  <c r="Z41" i="1"/>
  <c r="Z111" i="1"/>
  <c r="Z122" i="1"/>
  <c r="Z77" i="1"/>
  <c r="AN208" i="5"/>
  <c r="AO206" i="5"/>
  <c r="AO208" i="5" s="1"/>
  <c r="AD236" i="5"/>
  <c r="AD237" i="5" s="1"/>
  <c r="AD230" i="5"/>
  <c r="AD231" i="5" s="1"/>
  <c r="AE224" i="5"/>
  <c r="AD225" i="5"/>
  <c r="AO287" i="5"/>
  <c r="AO289" i="5" s="1"/>
  <c r="AN289" i="5"/>
  <c r="AN291" i="5" s="1"/>
  <c r="AN293" i="5" s="1"/>
  <c r="AM116" i="5"/>
  <c r="AL128" i="5"/>
  <c r="AL129" i="5" s="1"/>
  <c r="AL122" i="5"/>
  <c r="AL117" i="5"/>
  <c r="S451" i="5"/>
  <c r="S452" i="5" s="1"/>
  <c r="S3" i="7" s="1"/>
  <c r="T432" i="5"/>
  <c r="T451" i="5" s="1"/>
  <c r="T452" i="5" s="1"/>
  <c r="DD8" i="7"/>
  <c r="T8" i="7"/>
  <c r="AL344" i="5"/>
  <c r="AL345" i="5" s="1"/>
  <c r="AM332" i="5"/>
  <c r="AL333" i="5"/>
  <c r="AL338" i="5"/>
  <c r="AL339" i="5" s="1"/>
  <c r="AH41" i="5"/>
  <c r="AH42" i="5" s="1"/>
  <c r="AH47" i="5"/>
  <c r="AH48" i="5" s="1"/>
  <c r="AH36" i="5"/>
  <c r="AB243" i="5"/>
  <c r="AB444" i="5" s="1"/>
  <c r="AB452" i="5" s="1"/>
  <c r="AB456" i="5"/>
  <c r="AB457" i="5" s="1"/>
  <c r="AJ311" i="31"/>
  <c r="AJ312" i="31" s="1"/>
  <c r="AI312" i="31"/>
  <c r="AC239" i="5"/>
  <c r="AC463" i="5"/>
  <c r="AC465" i="5" s="1"/>
  <c r="AC8" i="7" s="1"/>
  <c r="AO173" i="5"/>
  <c r="AO175" i="5" s="1"/>
  <c r="AN175" i="5"/>
  <c r="AI305" i="31"/>
  <c r="AH306" i="31"/>
  <c r="AA444" i="5"/>
  <c r="AA452" i="5" s="1"/>
  <c r="AL387" i="5"/>
  <c r="AL398" i="5"/>
  <c r="AL399" i="5" s="1"/>
  <c r="AL392" i="5"/>
  <c r="AL393" i="5" s="1"/>
  <c r="AM386" i="5"/>
  <c r="AI317" i="31"/>
  <c r="AH318" i="31"/>
  <c r="S6" i="7"/>
  <c r="Z12" i="7"/>
  <c r="Z13" i="7" s="1"/>
  <c r="AM182" i="5"/>
  <c r="AM183" i="5" s="1"/>
  <c r="AN170" i="5"/>
  <c r="AM176" i="5"/>
  <c r="AM177" i="5" s="1"/>
  <c r="AM171" i="5"/>
  <c r="Z36" i="7"/>
  <c r="Z37" i="7" s="1"/>
  <c r="AC76" i="1"/>
  <c r="AC26" i="7" s="1"/>
  <c r="AD65" i="1"/>
  <c r="AE63" i="1"/>
  <c r="AD70" i="1"/>
  <c r="AD72" i="1" s="1"/>
  <c r="AC89" i="1"/>
  <c r="AB93" i="1"/>
  <c r="AB27" i="7" s="1"/>
  <c r="AB178" i="1" s="1"/>
  <c r="AA36" i="7"/>
  <c r="Y12" i="7"/>
  <c r="Y39" i="7" s="1"/>
  <c r="Y4" i="11" s="1"/>
  <c r="Y37" i="7"/>
  <c r="R7" i="11"/>
  <c r="Q21" i="16"/>
  <c r="Q24" i="16" s="1"/>
  <c r="DW46" i="7"/>
  <c r="DX46" i="7" s="1"/>
  <c r="AB144" i="1"/>
  <c r="AE23" i="16"/>
  <c r="AE142" i="1" s="1"/>
  <c r="AE144" i="1" s="1"/>
  <c r="AC142" i="1"/>
  <c r="AC144" i="1" s="1"/>
  <c r="AE318" i="5"/>
  <c r="AF317" i="5"/>
  <c r="AH317" i="5" s="1"/>
  <c r="AH318" i="5" s="1"/>
  <c r="AH320" i="5" s="1"/>
  <c r="AE42" i="5"/>
  <c r="AE77" i="5"/>
  <c r="AE81" i="5" s="1"/>
  <c r="AE438" i="5" s="1"/>
  <c r="AF117" i="1"/>
  <c r="AF119" i="1" s="1"/>
  <c r="AF31" i="7" s="1"/>
  <c r="AE168" i="1"/>
  <c r="Y182" i="1"/>
  <c r="AN93" i="1"/>
  <c r="AN27" i="7" s="1"/>
  <c r="AO91" i="1"/>
  <c r="AO93" i="1" s="1"/>
  <c r="AO27" i="7" s="1"/>
  <c r="AC35" i="1"/>
  <c r="AC10" i="1"/>
  <c r="AD8" i="1"/>
  <c r="AN28" i="7"/>
  <c r="AO99" i="1"/>
  <c r="AB28" i="1"/>
  <c r="AB32" i="1" s="1"/>
  <c r="AB20" i="7" s="1"/>
  <c r="AB189" i="1"/>
  <c r="AB190" i="1" s="1"/>
  <c r="AB14" i="11" s="1"/>
  <c r="AB37" i="1"/>
  <c r="AD54" i="5"/>
  <c r="AD437" i="5" s="1"/>
  <c r="AN227" i="5"/>
  <c r="AM229" i="5"/>
  <c r="AE27" i="5"/>
  <c r="AE436" i="5" s="1"/>
  <c r="AL104" i="5"/>
  <c r="AF47" i="5"/>
  <c r="AF48" i="5" s="1"/>
  <c r="AG48" i="5" s="1"/>
  <c r="AF41" i="5"/>
  <c r="AG35" i="5"/>
  <c r="AF36" i="5"/>
  <c r="O5" i="18"/>
  <c r="O8" i="18" s="1"/>
  <c r="AF74" i="5"/>
  <c r="AF75" i="5" s="1"/>
  <c r="AG75" i="5" s="1"/>
  <c r="AF68" i="5"/>
  <c r="AF69" i="5" s="1"/>
  <c r="AG69" i="5" s="1"/>
  <c r="AG62" i="5"/>
  <c r="AH62" i="5" s="1"/>
  <c r="AF63" i="5"/>
  <c r="AL374" i="5"/>
  <c r="AN203" i="5"/>
  <c r="AN209" i="5"/>
  <c r="AN210" i="5" s="1"/>
  <c r="AO197" i="5"/>
  <c r="AN198" i="5"/>
  <c r="AM305" i="5"/>
  <c r="AL306" i="5"/>
  <c r="AF38" i="5"/>
  <c r="AF40" i="5" s="1"/>
  <c r="AF13" i="5"/>
  <c r="AG11" i="5"/>
  <c r="AD438" i="5"/>
  <c r="AM101" i="5"/>
  <c r="AM102" i="5" s="1"/>
  <c r="AM95" i="5"/>
  <c r="AM96" i="5" s="1"/>
  <c r="AN89" i="5"/>
  <c r="AM90" i="5"/>
  <c r="AE50" i="5"/>
  <c r="AE54" i="5" s="1"/>
  <c r="AE437" i="5" s="1"/>
  <c r="AO290" i="5"/>
  <c r="AO291" i="5" s="1"/>
  <c r="AO284" i="5"/>
  <c r="AO285" i="5" s="1"/>
  <c r="AO279" i="5"/>
  <c r="AL121" i="5"/>
  <c r="AL123" i="5" s="1"/>
  <c r="AM119" i="5"/>
  <c r="AM202" i="5"/>
  <c r="AM204" i="5" s="1"/>
  <c r="AN200" i="5"/>
  <c r="AO260" i="5"/>
  <c r="AO262" i="5" s="1"/>
  <c r="AN262" i="5"/>
  <c r="AN359" i="5"/>
  <c r="AM371" i="5"/>
  <c r="AM372" i="5" s="1"/>
  <c r="AM365" i="5"/>
  <c r="AM366" i="5" s="1"/>
  <c r="AM360" i="5"/>
  <c r="AM212" i="5"/>
  <c r="EA18" i="7"/>
  <c r="AG28" i="7"/>
  <c r="DI18" i="7"/>
  <c r="AK311" i="5" l="1"/>
  <c r="AJ312" i="5"/>
  <c r="W20" i="31"/>
  <c r="W21" i="31" s="1"/>
  <c r="W14" i="31"/>
  <c r="W15" i="31" s="1"/>
  <c r="W9" i="31"/>
  <c r="X8" i="31"/>
  <c r="Y333" i="31"/>
  <c r="Z332" i="31"/>
  <c r="Y344" i="31"/>
  <c r="Y345" i="31" s="1"/>
  <c r="Y338" i="31"/>
  <c r="Y339" i="31" s="1"/>
  <c r="X403" i="31"/>
  <c r="X322" i="31"/>
  <c r="X324" i="31" s="1"/>
  <c r="X106" i="31"/>
  <c r="X52" i="31"/>
  <c r="X430" i="31"/>
  <c r="X241" i="31"/>
  <c r="X133" i="31"/>
  <c r="X376" i="31"/>
  <c r="X160" i="31"/>
  <c r="X162" i="31" s="1"/>
  <c r="X441" i="31" s="1"/>
  <c r="X79" i="31"/>
  <c r="X81" i="31" s="1"/>
  <c r="Y25" i="31"/>
  <c r="X295" i="31"/>
  <c r="X187" i="31"/>
  <c r="X214" i="31"/>
  <c r="X268" i="31"/>
  <c r="X349" i="31"/>
  <c r="AM185" i="5"/>
  <c r="AM420" i="5"/>
  <c r="Y122" i="31"/>
  <c r="Y123" i="31" s="1"/>
  <c r="Z116" i="31"/>
  <c r="Y117" i="31"/>
  <c r="Y128" i="31"/>
  <c r="Y129" i="31" s="1"/>
  <c r="S452" i="31"/>
  <c r="AB149" i="31"/>
  <c r="AB155" i="31"/>
  <c r="AF52" i="5"/>
  <c r="AG25" i="5"/>
  <c r="AF106" i="5"/>
  <c r="AF108" i="5" s="1"/>
  <c r="AF439" i="5" s="1"/>
  <c r="AF133" i="5"/>
  <c r="AF135" i="5" s="1"/>
  <c r="AF440" i="5" s="1"/>
  <c r="AF268" i="5"/>
  <c r="AF270" i="5" s="1"/>
  <c r="AF445" i="5" s="1"/>
  <c r="AF295" i="5"/>
  <c r="AF297" i="5" s="1"/>
  <c r="AF214" i="5"/>
  <c r="AF216" i="5" s="1"/>
  <c r="AF322" i="5"/>
  <c r="AF79" i="5"/>
  <c r="AF349" i="5"/>
  <c r="AF351" i="5" s="1"/>
  <c r="AF448" i="5" s="1"/>
  <c r="AF376" i="5"/>
  <c r="AF378" i="5" s="1"/>
  <c r="AF403" i="5"/>
  <c r="AF405" i="5" s="1"/>
  <c r="AF450" i="5" s="1"/>
  <c r="AF430" i="5"/>
  <c r="AF432" i="5" s="1"/>
  <c r="AF241" i="5"/>
  <c r="AF160" i="5"/>
  <c r="AF162" i="5" s="1"/>
  <c r="AF187" i="5"/>
  <c r="AF189" i="5" s="1"/>
  <c r="AF442" i="5" s="1"/>
  <c r="AE439" i="5"/>
  <c r="AG439" i="5" s="1"/>
  <c r="AG108" i="5"/>
  <c r="X176" i="31"/>
  <c r="X177" i="31" s="1"/>
  <c r="Y170" i="31"/>
  <c r="X171" i="31"/>
  <c r="X185" i="31" s="1"/>
  <c r="X189" i="31" s="1"/>
  <c r="X442" i="31" s="1"/>
  <c r="X405" i="31"/>
  <c r="X450" i="31" s="1"/>
  <c r="W428" i="31"/>
  <c r="W432" i="31" s="1"/>
  <c r="W451" i="31" s="1"/>
  <c r="AG252" i="5"/>
  <c r="Z35" i="31"/>
  <c r="Y47" i="31"/>
  <c r="Y48" i="31" s="1"/>
  <c r="Y41" i="31"/>
  <c r="Y42" i="31" s="1"/>
  <c r="Y36" i="31"/>
  <c r="Y401" i="31"/>
  <c r="X293" i="31"/>
  <c r="X297" i="31" s="1"/>
  <c r="X446" i="31" s="1"/>
  <c r="AN143" i="5"/>
  <c r="AM155" i="5"/>
  <c r="AM156" i="5" s="1"/>
  <c r="AM149" i="5"/>
  <c r="AM150" i="5" s="1"/>
  <c r="AM158" i="5" s="1"/>
  <c r="AM144" i="5"/>
  <c r="V374" i="31"/>
  <c r="AJ287" i="31"/>
  <c r="AJ289" i="31" s="1"/>
  <c r="AI289" i="31"/>
  <c r="T449" i="31"/>
  <c r="T452" i="31" s="1"/>
  <c r="AH263" i="5"/>
  <c r="AH264" i="5" s="1"/>
  <c r="AH257" i="5"/>
  <c r="AH258" i="5" s="1"/>
  <c r="AI251" i="5"/>
  <c r="AH252" i="5"/>
  <c r="W209" i="31"/>
  <c r="W210" i="31" s="1"/>
  <c r="X197" i="31"/>
  <c r="W203" i="31"/>
  <c r="W204" i="31" s="1"/>
  <c r="W198" i="31"/>
  <c r="U444" i="31"/>
  <c r="X104" i="31"/>
  <c r="X108" i="31" s="1"/>
  <c r="X439" i="31" s="1"/>
  <c r="X131" i="31"/>
  <c r="AA158" i="31"/>
  <c r="AB144" i="31"/>
  <c r="AC155" i="31"/>
  <c r="AC156" i="31" s="1"/>
  <c r="AC149" i="31"/>
  <c r="AC150" i="31" s="1"/>
  <c r="AD143" i="31"/>
  <c r="AC144" i="31"/>
  <c r="AC158" i="31" s="1"/>
  <c r="AI397" i="31"/>
  <c r="AJ395" i="31"/>
  <c r="AJ397" i="31" s="1"/>
  <c r="AE448" i="5"/>
  <c r="AG351" i="5"/>
  <c r="AG448" i="5" s="1"/>
  <c r="AE442" i="5"/>
  <c r="AG189" i="5"/>
  <c r="AG442" i="5" s="1"/>
  <c r="X236" i="31"/>
  <c r="X237" i="31" s="1"/>
  <c r="X230" i="31"/>
  <c r="X231" i="31" s="1"/>
  <c r="Y224" i="31"/>
  <c r="X225" i="31"/>
  <c r="X425" i="31"/>
  <c r="X426" i="31" s="1"/>
  <c r="Y413" i="31"/>
  <c r="X419" i="31"/>
  <c r="X420" i="31" s="1"/>
  <c r="X414" i="31"/>
  <c r="X50" i="31"/>
  <c r="X54" i="31" s="1"/>
  <c r="X437" i="31" s="1"/>
  <c r="Z398" i="31"/>
  <c r="Z399" i="31" s="1"/>
  <c r="AA386" i="31"/>
  <c r="Z387" i="31"/>
  <c r="Z392" i="31"/>
  <c r="Z393" i="31" s="1"/>
  <c r="Y284" i="31"/>
  <c r="Y285" i="31" s="1"/>
  <c r="Y290" i="31"/>
  <c r="Y291" i="31" s="1"/>
  <c r="Z278" i="31"/>
  <c r="Y279" i="31"/>
  <c r="Y293" i="31" s="1"/>
  <c r="W365" i="31"/>
  <c r="W366" i="31" s="1"/>
  <c r="X359" i="31"/>
  <c r="W371" i="31"/>
  <c r="W372" i="31" s="1"/>
  <c r="W360" i="31"/>
  <c r="U442" i="31"/>
  <c r="W441" i="31"/>
  <c r="V440" i="31"/>
  <c r="AE440" i="5"/>
  <c r="AG135" i="5"/>
  <c r="U27" i="31"/>
  <c r="U456" i="31"/>
  <c r="U457" i="31" s="1"/>
  <c r="W185" i="31"/>
  <c r="W189" i="31" s="1"/>
  <c r="W442" i="31" s="1"/>
  <c r="V446" i="31"/>
  <c r="X257" i="31"/>
  <c r="X258" i="31" s="1"/>
  <c r="X263" i="31"/>
  <c r="X264" i="31" s="1"/>
  <c r="Y251" i="31"/>
  <c r="X252" i="31"/>
  <c r="X266" i="31" s="1"/>
  <c r="X270" i="31" s="1"/>
  <c r="X445" i="31" s="1"/>
  <c r="AI69" i="1"/>
  <c r="V270" i="31"/>
  <c r="AL131" i="5"/>
  <c r="Y90" i="31"/>
  <c r="Z89" i="31"/>
  <c r="Y101" i="31"/>
  <c r="Y102" i="31" s="1"/>
  <c r="Y95" i="31"/>
  <c r="Y96" i="31" s="1"/>
  <c r="U451" i="31"/>
  <c r="AN418" i="5"/>
  <c r="AO416" i="5"/>
  <c r="AO418" i="5" s="1"/>
  <c r="AN343" i="5"/>
  <c r="AO341" i="5"/>
  <c r="AO343" i="5" s="1"/>
  <c r="AE450" i="5"/>
  <c r="AG405" i="5"/>
  <c r="AG450" i="5" s="1"/>
  <c r="V23" i="31"/>
  <c r="V463" i="31"/>
  <c r="V465" i="31" s="1"/>
  <c r="W239" i="31"/>
  <c r="W243" i="31" s="1"/>
  <c r="W444" i="31" s="1"/>
  <c r="AG14" i="5"/>
  <c r="AG20" i="5"/>
  <c r="AH8" i="5"/>
  <c r="V437" i="31"/>
  <c r="AJ227" i="31"/>
  <c r="AJ229" i="31" s="1"/>
  <c r="AI229" i="31"/>
  <c r="W266" i="31"/>
  <c r="W270" i="31" s="1"/>
  <c r="W445" i="31" s="1"/>
  <c r="X347" i="31"/>
  <c r="AG263" i="5"/>
  <c r="AG257" i="5"/>
  <c r="AB466" i="5"/>
  <c r="AB3" i="7"/>
  <c r="AH68" i="5"/>
  <c r="AH69" i="5" s="1"/>
  <c r="AH74" i="5"/>
  <c r="AH75" i="5" s="1"/>
  <c r="AH63" i="5"/>
  <c r="AH77" i="5" s="1"/>
  <c r="AO107" i="1"/>
  <c r="AO28" i="7" s="1"/>
  <c r="S10" i="7"/>
  <c r="S12" i="7" s="1"/>
  <c r="DW6" i="7"/>
  <c r="DW10" i="7" s="1"/>
  <c r="T6" i="7"/>
  <c r="T10" i="7" s="1"/>
  <c r="O4" i="18" s="1"/>
  <c r="AN386" i="5"/>
  <c r="AM398" i="5"/>
  <c r="AM399" i="5" s="1"/>
  <c r="AM387" i="5"/>
  <c r="AM392" i="5"/>
  <c r="AM393" i="5" s="1"/>
  <c r="AH320" i="31"/>
  <c r="AC243" i="5"/>
  <c r="AC456" i="5"/>
  <c r="AC457" i="5" s="1"/>
  <c r="AH50" i="5"/>
  <c r="AL347" i="5"/>
  <c r="AN332" i="5"/>
  <c r="AM338" i="5"/>
  <c r="AM339" i="5" s="1"/>
  <c r="AM344" i="5"/>
  <c r="AM345" i="5" s="1"/>
  <c r="AM333" i="5"/>
  <c r="AM122" i="5"/>
  <c r="AM117" i="5"/>
  <c r="AM128" i="5"/>
  <c r="AM129" i="5" s="1"/>
  <c r="AN116" i="5"/>
  <c r="AD239" i="5"/>
  <c r="AD463" i="5"/>
  <c r="AD465" i="5" s="1"/>
  <c r="AD8" i="7" s="1"/>
  <c r="AM428" i="5"/>
  <c r="AN182" i="5"/>
  <c r="AN183" i="5" s="1"/>
  <c r="AN176" i="5"/>
  <c r="AN177" i="5" s="1"/>
  <c r="AN185" i="5" s="1"/>
  <c r="AN171" i="5"/>
  <c r="AO170" i="5"/>
  <c r="T178" i="1"/>
  <c r="S179" i="1"/>
  <c r="AJ317" i="31"/>
  <c r="AJ318" i="31" s="1"/>
  <c r="AI318" i="31"/>
  <c r="AL401" i="5"/>
  <c r="AJ305" i="31"/>
  <c r="AJ306" i="31" s="1"/>
  <c r="AJ320" i="31" s="1"/>
  <c r="AI306" i="31"/>
  <c r="AI320" i="31" s="1"/>
  <c r="AB6" i="7"/>
  <c r="AB10" i="7" s="1"/>
  <c r="DW8" i="7"/>
  <c r="DX8" i="7" s="1"/>
  <c r="DE8" i="7"/>
  <c r="S40" i="7"/>
  <c r="S50" i="7"/>
  <c r="S174" i="1"/>
  <c r="S125" i="1"/>
  <c r="S133" i="1"/>
  <c r="S108" i="1"/>
  <c r="S47" i="1"/>
  <c r="S114" i="1"/>
  <c r="S77" i="1"/>
  <c r="S41" i="1"/>
  <c r="S13" i="7"/>
  <c r="DW13" i="7" s="1"/>
  <c r="S37" i="7"/>
  <c r="DW37" i="7" s="1"/>
  <c r="S130" i="1"/>
  <c r="S122" i="1"/>
  <c r="S111" i="1"/>
  <c r="S50" i="1"/>
  <c r="S38" i="1"/>
  <c r="S94" i="1"/>
  <c r="S44" i="1"/>
  <c r="DW3" i="7"/>
  <c r="DW50" i="7" s="1"/>
  <c r="T3" i="7"/>
  <c r="AE230" i="5"/>
  <c r="AE231" i="5" s="1"/>
  <c r="AE236" i="5"/>
  <c r="AE237" i="5" s="1"/>
  <c r="AF224" i="5"/>
  <c r="AE225" i="5"/>
  <c r="AE463" i="5" s="1"/>
  <c r="AE465" i="5" s="1"/>
  <c r="AN425" i="5"/>
  <c r="AN426" i="5" s="1"/>
  <c r="AN419" i="5"/>
  <c r="AN420" i="5" s="1"/>
  <c r="AO413" i="5"/>
  <c r="AN414" i="5"/>
  <c r="AN428" i="5" s="1"/>
  <c r="Z39" i="7"/>
  <c r="Z40" i="7" s="1"/>
  <c r="AD76" i="1"/>
  <c r="AD26" i="7" s="1"/>
  <c r="AE70" i="1"/>
  <c r="AE72" i="1" s="1"/>
  <c r="AF63" i="1"/>
  <c r="AE65" i="1"/>
  <c r="AD89" i="1"/>
  <c r="AC93" i="1"/>
  <c r="AB38" i="1"/>
  <c r="AB21" i="7"/>
  <c r="AB36" i="7" s="1"/>
  <c r="AB37" i="7" s="1"/>
  <c r="AC28" i="1"/>
  <c r="AC32" i="1" s="1"/>
  <c r="AC20" i="7" s="1"/>
  <c r="AC16" i="7"/>
  <c r="AA3" i="7"/>
  <c r="AA41" i="1" s="1"/>
  <c r="AA466" i="5"/>
  <c r="Y13" i="7"/>
  <c r="AE8" i="7"/>
  <c r="Y40" i="7"/>
  <c r="AB12" i="7"/>
  <c r="AD144" i="1"/>
  <c r="AF142" i="1"/>
  <c r="AF144" i="1" s="1"/>
  <c r="AG317" i="5"/>
  <c r="AF318" i="5"/>
  <c r="AF320" i="5" s="1"/>
  <c r="AF324" i="5" s="1"/>
  <c r="AE320" i="5"/>
  <c r="AG318" i="5"/>
  <c r="AM104" i="5"/>
  <c r="AA174" i="1"/>
  <c r="AA47" i="1"/>
  <c r="AA122" i="1"/>
  <c r="AA130" i="1"/>
  <c r="AA111" i="1"/>
  <c r="AA125" i="1"/>
  <c r="AA108" i="1"/>
  <c r="AA38" i="1"/>
  <c r="AG119" i="1"/>
  <c r="AG117" i="1"/>
  <c r="AF168" i="1"/>
  <c r="AD35" i="1"/>
  <c r="AE8" i="1"/>
  <c r="AD10" i="1"/>
  <c r="AC189" i="1"/>
  <c r="AC190" i="1" s="1"/>
  <c r="AC14" i="11" s="1"/>
  <c r="AC37" i="1"/>
  <c r="AF447" i="5"/>
  <c r="AM374" i="5"/>
  <c r="AO200" i="5"/>
  <c r="AO202" i="5" s="1"/>
  <c r="AN202" i="5"/>
  <c r="AN204" i="5" s="1"/>
  <c r="AN212" i="5" s="1"/>
  <c r="AM121" i="5"/>
  <c r="AM123" i="5" s="1"/>
  <c r="AN119" i="5"/>
  <c r="AO293" i="5"/>
  <c r="AN101" i="5"/>
  <c r="AN102" i="5" s="1"/>
  <c r="AN95" i="5"/>
  <c r="AN96" i="5" s="1"/>
  <c r="AO89" i="5"/>
  <c r="AN90" i="5"/>
  <c r="AG38" i="5"/>
  <c r="AG168" i="1" s="1"/>
  <c r="AF42" i="5"/>
  <c r="AG42" i="5" s="1"/>
  <c r="AG40" i="5"/>
  <c r="AO209" i="5"/>
  <c r="AO210" i="5" s="1"/>
  <c r="AO203" i="5"/>
  <c r="AO198" i="5"/>
  <c r="AF77" i="5"/>
  <c r="AG63" i="5"/>
  <c r="AG36" i="5"/>
  <c r="AN371" i="5"/>
  <c r="AN372" i="5" s="1"/>
  <c r="AN365" i="5"/>
  <c r="AN366" i="5" s="1"/>
  <c r="AO359" i="5"/>
  <c r="AN360" i="5"/>
  <c r="AG31" i="7"/>
  <c r="AF15" i="5"/>
  <c r="AG13" i="5"/>
  <c r="AN305" i="5"/>
  <c r="AM306" i="5"/>
  <c r="AG74" i="5"/>
  <c r="AG68" i="5"/>
  <c r="AG41" i="5"/>
  <c r="AG47" i="5"/>
  <c r="AI35" i="5"/>
  <c r="AO227" i="5"/>
  <c r="AO229" i="5" s="1"/>
  <c r="AN229" i="5"/>
  <c r="EB18" i="7"/>
  <c r="AH23" i="16"/>
  <c r="AG23" i="16"/>
  <c r="X351" i="31" l="1"/>
  <c r="AG270" i="5"/>
  <c r="AG445" i="5" s="1"/>
  <c r="U436" i="31"/>
  <c r="W374" i="31"/>
  <c r="W378" i="31" s="1"/>
  <c r="W449" i="31" s="1"/>
  <c r="Y236" i="31"/>
  <c r="Y237" i="31" s="1"/>
  <c r="Y230" i="31"/>
  <c r="Y231" i="31" s="1"/>
  <c r="Y225" i="31"/>
  <c r="Z224" i="31"/>
  <c r="AN149" i="5"/>
  <c r="AN150" i="5" s="1"/>
  <c r="AN158" i="5" s="1"/>
  <c r="AN144" i="5"/>
  <c r="AN155" i="5"/>
  <c r="AN156" i="5" s="1"/>
  <c r="AO143" i="5"/>
  <c r="Z47" i="31"/>
  <c r="Z48" i="31" s="1"/>
  <c r="Z41" i="31"/>
  <c r="Z42" i="31" s="1"/>
  <c r="AA35" i="31"/>
  <c r="Z36" i="31"/>
  <c r="AF441" i="5"/>
  <c r="AG441" i="5" s="1"/>
  <c r="AG162" i="5"/>
  <c r="AG378" i="5"/>
  <c r="AG449" i="5" s="1"/>
  <c r="AF449" i="5"/>
  <c r="AF443" i="5"/>
  <c r="AG216" i="5"/>
  <c r="AG443" i="5" s="1"/>
  <c r="Y131" i="31"/>
  <c r="X438" i="31"/>
  <c r="X447" i="31"/>
  <c r="AA332" i="31"/>
  <c r="Z333" i="31"/>
  <c r="Z344" i="31"/>
  <c r="Z345" i="31" s="1"/>
  <c r="Z338" i="31"/>
  <c r="Z339" i="31" s="1"/>
  <c r="Y359" i="31"/>
  <c r="X371" i="31"/>
  <c r="X372" i="31" s="1"/>
  <c r="X365" i="31"/>
  <c r="X366" i="31" s="1"/>
  <c r="X360" i="31"/>
  <c r="Z284" i="31"/>
  <c r="Z285" i="31" s="1"/>
  <c r="AA278" i="31"/>
  <c r="Z290" i="31"/>
  <c r="Z291" i="31" s="1"/>
  <c r="Z279" i="31"/>
  <c r="Z401" i="31"/>
  <c r="AB158" i="31"/>
  <c r="AF451" i="5"/>
  <c r="AG432" i="5"/>
  <c r="AG451" i="5" s="1"/>
  <c r="AM131" i="5"/>
  <c r="AJ69" i="1"/>
  <c r="Y425" i="31"/>
  <c r="Y426" i="31" s="1"/>
  <c r="Z413" i="31"/>
  <c r="Y419" i="31"/>
  <c r="Y420" i="31" s="1"/>
  <c r="Y414" i="31"/>
  <c r="W212" i="31"/>
  <c r="W216" i="31" s="1"/>
  <c r="W443" i="31" s="1"/>
  <c r="AH266" i="5"/>
  <c r="Y50" i="31"/>
  <c r="AG297" i="5"/>
  <c r="AG446" i="5" s="1"/>
  <c r="AF446" i="5"/>
  <c r="AG268" i="5"/>
  <c r="AG295" i="5"/>
  <c r="AG376" i="5"/>
  <c r="AG322" i="5"/>
  <c r="AH25" i="5"/>
  <c r="AG349" i="5"/>
  <c r="AG403" i="5"/>
  <c r="AG430" i="5"/>
  <c r="AG160" i="5"/>
  <c r="AG187" i="5"/>
  <c r="AG241" i="5"/>
  <c r="AG52" i="5"/>
  <c r="AG79" i="5"/>
  <c r="AG133" i="5"/>
  <c r="AG106" i="5"/>
  <c r="AG214" i="5"/>
  <c r="AA116" i="31"/>
  <c r="Z128" i="31"/>
  <c r="Z129" i="31" s="1"/>
  <c r="Z122" i="31"/>
  <c r="Z123" i="31" s="1"/>
  <c r="Z117" i="31"/>
  <c r="Y347" i="31"/>
  <c r="Y351" i="31" s="1"/>
  <c r="Y448" i="31" s="1"/>
  <c r="AH14" i="5"/>
  <c r="AH15" i="5" s="1"/>
  <c r="AI8" i="5"/>
  <c r="AH20" i="5"/>
  <c r="AH21" i="5" s="1"/>
  <c r="AH9" i="5"/>
  <c r="Z95" i="31"/>
  <c r="Z96" i="31" s="1"/>
  <c r="Z90" i="31"/>
  <c r="Z101" i="31"/>
  <c r="Z102" i="31" s="1"/>
  <c r="AA89" i="31"/>
  <c r="AE143" i="31"/>
  <c r="AD155" i="31"/>
  <c r="AD156" i="31" s="1"/>
  <c r="AD149" i="31"/>
  <c r="AD150" i="31" s="1"/>
  <c r="AD144" i="31"/>
  <c r="AD158" i="31" s="1"/>
  <c r="AI252" i="5"/>
  <c r="AI266" i="5" s="1"/>
  <c r="AI263" i="5"/>
  <c r="AI264" i="5" s="1"/>
  <c r="AJ251" i="5"/>
  <c r="AI257" i="5"/>
  <c r="AI258" i="5" s="1"/>
  <c r="X9" i="31"/>
  <c r="X20" i="31"/>
  <c r="X21" i="31" s="1"/>
  <c r="X14" i="31"/>
  <c r="X15" i="31" s="1"/>
  <c r="Y8" i="31"/>
  <c r="V27" i="31"/>
  <c r="V436" i="31" s="1"/>
  <c r="V456" i="31"/>
  <c r="V457" i="31" s="1"/>
  <c r="Y104" i="31"/>
  <c r="V445" i="31"/>
  <c r="Y257" i="31"/>
  <c r="Y258" i="31" s="1"/>
  <c r="Z251" i="31"/>
  <c r="Y263" i="31"/>
  <c r="Y264" i="31" s="1"/>
  <c r="Y252" i="31"/>
  <c r="AC386" i="31"/>
  <c r="AA398" i="31"/>
  <c r="AA399" i="31" s="1"/>
  <c r="AB399" i="31" s="1"/>
  <c r="AB386" i="31"/>
  <c r="AA392" i="31"/>
  <c r="AA393" i="31" s="1"/>
  <c r="AB393" i="31" s="1"/>
  <c r="AA387" i="31"/>
  <c r="AA401" i="31" s="1"/>
  <c r="X428" i="31"/>
  <c r="X239" i="31"/>
  <c r="X135" i="31"/>
  <c r="X203" i="31"/>
  <c r="X204" i="31" s="1"/>
  <c r="X209" i="31"/>
  <c r="X210" i="31" s="1"/>
  <c r="Y197" i="31"/>
  <c r="X198" i="31"/>
  <c r="V378" i="31"/>
  <c r="Y182" i="31"/>
  <c r="Y183" i="31" s="1"/>
  <c r="Z170" i="31"/>
  <c r="Y176" i="31"/>
  <c r="Y177" i="31" s="1"/>
  <c r="Y171" i="31"/>
  <c r="AG440" i="5"/>
  <c r="Y376" i="31"/>
  <c r="Y214" i="31"/>
  <c r="Y133" i="31"/>
  <c r="Y52" i="31"/>
  <c r="Y430" i="31"/>
  <c r="Y322" i="31"/>
  <c r="Y324" i="31" s="1"/>
  <c r="Y447" i="31" s="1"/>
  <c r="Y241" i="31"/>
  <c r="Y160" i="31"/>
  <c r="Y162" i="31" s="1"/>
  <c r="Y441" i="31" s="1"/>
  <c r="Y403" i="31"/>
  <c r="Y405" i="31" s="1"/>
  <c r="Y295" i="31"/>
  <c r="Y297" i="31" s="1"/>
  <c r="Y187" i="31"/>
  <c r="Y106" i="31"/>
  <c r="Y79" i="31"/>
  <c r="Y81" i="31" s="1"/>
  <c r="Y438" i="31" s="1"/>
  <c r="Z25" i="31"/>
  <c r="Y349" i="31"/>
  <c r="Y268" i="31"/>
  <c r="W23" i="31"/>
  <c r="W463" i="31"/>
  <c r="W465" i="31" s="1"/>
  <c r="AK312" i="5"/>
  <c r="AL311" i="5"/>
  <c r="Z4" i="11"/>
  <c r="S39" i="7"/>
  <c r="DW12" i="7"/>
  <c r="S182" i="1"/>
  <c r="T174" i="1"/>
  <c r="T179" i="1"/>
  <c r="S19" i="16"/>
  <c r="N17" i="12" s="1"/>
  <c r="AO182" i="5"/>
  <c r="AO183" i="5" s="1"/>
  <c r="AO171" i="5"/>
  <c r="AO176" i="5"/>
  <c r="AO177" i="5" s="1"/>
  <c r="AD243" i="5"/>
  <c r="AD444" i="5" s="1"/>
  <c r="AD452" i="5" s="1"/>
  <c r="AD456" i="5"/>
  <c r="AD457" i="5" s="1"/>
  <c r="AM347" i="5"/>
  <c r="AC6" i="7"/>
  <c r="AC10" i="7" s="1"/>
  <c r="AB41" i="1"/>
  <c r="AB111" i="1"/>
  <c r="AB122" i="1"/>
  <c r="AB47" i="1"/>
  <c r="AB114" i="1"/>
  <c r="AB94" i="1"/>
  <c r="AB77" i="1"/>
  <c r="AB174" i="1"/>
  <c r="AB182" i="1" s="1"/>
  <c r="AB44" i="1"/>
  <c r="AB125" i="1"/>
  <c r="AB130" i="1"/>
  <c r="AB50" i="1"/>
  <c r="AB133" i="1"/>
  <c r="AB108" i="1"/>
  <c r="AA77" i="1"/>
  <c r="AA94" i="1"/>
  <c r="AA114" i="1"/>
  <c r="AA44" i="1"/>
  <c r="AA133" i="1"/>
  <c r="AA50" i="1"/>
  <c r="AO419" i="5"/>
  <c r="AO420" i="5" s="1"/>
  <c r="AO425" i="5"/>
  <c r="AO426" i="5" s="1"/>
  <c r="AO414" i="5"/>
  <c r="AH224" i="5"/>
  <c r="AF230" i="5"/>
  <c r="AF231" i="5" s="1"/>
  <c r="AF236" i="5"/>
  <c r="AF237" i="5" s="1"/>
  <c r="AG237" i="5" s="1"/>
  <c r="AF225" i="5"/>
  <c r="AG224" i="5"/>
  <c r="AE239" i="5"/>
  <c r="AG231" i="5"/>
  <c r="T133" i="1"/>
  <c r="T125" i="1"/>
  <c r="T114" i="1"/>
  <c r="T77" i="1"/>
  <c r="T41" i="1"/>
  <c r="T108" i="1"/>
  <c r="T47" i="1"/>
  <c r="T13" i="7"/>
  <c r="O19" i="25" s="1"/>
  <c r="AC3" i="25"/>
  <c r="C4" i="30"/>
  <c r="T12" i="7"/>
  <c r="T130" i="1"/>
  <c r="T122" i="1"/>
  <c r="T94" i="1"/>
  <c r="T44" i="1"/>
  <c r="T111" i="1"/>
  <c r="T50" i="1"/>
  <c r="T38" i="1"/>
  <c r="T37" i="7"/>
  <c r="T50" i="7"/>
  <c r="AD3" i="25"/>
  <c r="T40" i="7"/>
  <c r="AN128" i="5"/>
  <c r="AN129" i="5" s="1"/>
  <c r="AO116" i="5"/>
  <c r="AN117" i="5"/>
  <c r="AN122" i="5"/>
  <c r="AN338" i="5"/>
  <c r="AN339" i="5" s="1"/>
  <c r="AN344" i="5"/>
  <c r="AN345" i="5" s="1"/>
  <c r="AN333" i="5"/>
  <c r="AO332" i="5"/>
  <c r="AC444" i="5"/>
  <c r="AC452" i="5" s="1"/>
  <c r="AM401" i="5"/>
  <c r="AN387" i="5"/>
  <c r="AO386" i="5"/>
  <c r="AN392" i="5"/>
  <c r="AN393" i="5" s="1"/>
  <c r="AN398" i="5"/>
  <c r="AN399" i="5" s="1"/>
  <c r="AJ23" i="16"/>
  <c r="AL23" i="16" s="1"/>
  <c r="AN23" i="16" s="1"/>
  <c r="AI23" i="16"/>
  <c r="AK23" i="16" s="1"/>
  <c r="AM23" i="16" s="1"/>
  <c r="AO23" i="16" s="1"/>
  <c r="AE76" i="1"/>
  <c r="AE26" i="7" s="1"/>
  <c r="AG63" i="1"/>
  <c r="AF65" i="1"/>
  <c r="AF70" i="1"/>
  <c r="AF72" i="1" s="1"/>
  <c r="AG72" i="1" s="1"/>
  <c r="AE89" i="1"/>
  <c r="AD93" i="1"/>
  <c r="AC27" i="7"/>
  <c r="AC178" i="1" s="1"/>
  <c r="AC21" i="7"/>
  <c r="AD28" i="1"/>
  <c r="AD32" i="1" s="1"/>
  <c r="AD20" i="7" s="1"/>
  <c r="AD16" i="7"/>
  <c r="AB39" i="7"/>
  <c r="AB4" i="11" s="1"/>
  <c r="AB13" i="7"/>
  <c r="AA12" i="7"/>
  <c r="AA39" i="7" s="1"/>
  <c r="AA4" i="11" s="1"/>
  <c r="AA37" i="7"/>
  <c r="AG144" i="1"/>
  <c r="AH142" i="1"/>
  <c r="AH144" i="1" s="1"/>
  <c r="AG142" i="1"/>
  <c r="AE324" i="5"/>
  <c r="AG320" i="5"/>
  <c r="AI317" i="5"/>
  <c r="AN374" i="5"/>
  <c r="AF50" i="5"/>
  <c r="AG50" i="5" s="1"/>
  <c r="N6" i="12"/>
  <c r="AA182" i="1"/>
  <c r="AE35" i="1"/>
  <c r="AE10" i="1"/>
  <c r="AF8" i="1"/>
  <c r="AD189" i="1"/>
  <c r="AD190" i="1" s="1"/>
  <c r="AD14" i="11" s="1"/>
  <c r="AD37" i="1"/>
  <c r="AO305" i="5"/>
  <c r="AO306" i="5" s="1"/>
  <c r="AN306" i="5"/>
  <c r="AO371" i="5"/>
  <c r="AO372" i="5" s="1"/>
  <c r="AO365" i="5"/>
  <c r="AO366" i="5" s="1"/>
  <c r="AO360" i="5"/>
  <c r="AN104" i="5"/>
  <c r="AO204" i="5"/>
  <c r="AO212" i="5" s="1"/>
  <c r="AI41" i="5"/>
  <c r="AI42" i="5" s="1"/>
  <c r="AI47" i="5"/>
  <c r="AI48" i="5" s="1"/>
  <c r="AI36" i="5"/>
  <c r="AJ35" i="5"/>
  <c r="AI62" i="5"/>
  <c r="AF23" i="5"/>
  <c r="AG15" i="5"/>
  <c r="AF54" i="5"/>
  <c r="AF81" i="5"/>
  <c r="AG77" i="5"/>
  <c r="AO101" i="5"/>
  <c r="AO102" i="5" s="1"/>
  <c r="AO95" i="5"/>
  <c r="AO96" i="5" s="1"/>
  <c r="AO90" i="5"/>
  <c r="AO119" i="5"/>
  <c r="AO121" i="5" s="1"/>
  <c r="AN121" i="5"/>
  <c r="AN123" i="5" s="1"/>
  <c r="DG28" i="7"/>
  <c r="DZ28" i="7" s="1"/>
  <c r="Y450" i="31" l="1"/>
  <c r="Y446" i="31"/>
  <c r="AL312" i="5"/>
  <c r="AM311" i="5"/>
  <c r="W27" i="31"/>
  <c r="W436" i="31" s="1"/>
  <c r="W452" i="31" s="1"/>
  <c r="W456" i="31"/>
  <c r="W457" i="31" s="1"/>
  <c r="Z176" i="31"/>
  <c r="Z177" i="31" s="1"/>
  <c r="Z182" i="31"/>
  <c r="Z183" i="31" s="1"/>
  <c r="AA170" i="31"/>
  <c r="Z171" i="31"/>
  <c r="V449" i="31"/>
  <c r="V452" i="31" s="1"/>
  <c r="X440" i="31"/>
  <c r="AC392" i="31"/>
  <c r="AC393" i="31" s="1"/>
  <c r="AC398" i="31"/>
  <c r="AC399" i="31" s="1"/>
  <c r="AD386" i="31"/>
  <c r="AC387" i="31"/>
  <c r="AC401" i="31" s="1"/>
  <c r="X23" i="31"/>
  <c r="X463" i="31"/>
  <c r="X465" i="31" s="1"/>
  <c r="AE144" i="31"/>
  <c r="AE155" i="31"/>
  <c r="AE156" i="31" s="1"/>
  <c r="AE149" i="31"/>
  <c r="AE150" i="31" s="1"/>
  <c r="AF143" i="31"/>
  <c r="AC278" i="31"/>
  <c r="AA284" i="31"/>
  <c r="AA285" i="31" s="1"/>
  <c r="AB285" i="31" s="1"/>
  <c r="AA290" i="31"/>
  <c r="AA291" i="31" s="1"/>
  <c r="AB291" i="31" s="1"/>
  <c r="AB278" i="31"/>
  <c r="AA279" i="31"/>
  <c r="Z347" i="31"/>
  <c r="AB347" i="31" s="1"/>
  <c r="Y266" i="31"/>
  <c r="Y270" i="31" s="1"/>
  <c r="Z8" i="31"/>
  <c r="Y20" i="31"/>
  <c r="Y21" i="31" s="1"/>
  <c r="Y14" i="31"/>
  <c r="Y15" i="31" s="1"/>
  <c r="Y9" i="31"/>
  <c r="AA101" i="31"/>
  <c r="AA102" i="31" s="1"/>
  <c r="AB102" i="31" s="1"/>
  <c r="AC89" i="31"/>
  <c r="AB89" i="31"/>
  <c r="AA95" i="31"/>
  <c r="AA96" i="31" s="1"/>
  <c r="AB96" i="31" s="1"/>
  <c r="AA90" i="31"/>
  <c r="Z419" i="31"/>
  <c r="Z420" i="31" s="1"/>
  <c r="Z425" i="31"/>
  <c r="Z426" i="31" s="1"/>
  <c r="AA413" i="31"/>
  <c r="Z414" i="31"/>
  <c r="Y365" i="31"/>
  <c r="Y366" i="31" s="1"/>
  <c r="Z359" i="31"/>
  <c r="Y371" i="31"/>
  <c r="Y372" i="31" s="1"/>
  <c r="Y360" i="31"/>
  <c r="Y374" i="31" s="1"/>
  <c r="Y378" i="31" s="1"/>
  <c r="Y449" i="31" s="1"/>
  <c r="Z50" i="31"/>
  <c r="AO155" i="5"/>
  <c r="AO156" i="5" s="1"/>
  <c r="AO149" i="5"/>
  <c r="AO150" i="5" s="1"/>
  <c r="AO144" i="5"/>
  <c r="AO158" i="5" s="1"/>
  <c r="AA224" i="31"/>
  <c r="Z225" i="31"/>
  <c r="Z236" i="31"/>
  <c r="Z237" i="31" s="1"/>
  <c r="Z230" i="31"/>
  <c r="Z231" i="31" s="1"/>
  <c r="AB401" i="31"/>
  <c r="AN131" i="5"/>
  <c r="Y185" i="31"/>
  <c r="Y189" i="31" s="1"/>
  <c r="X212" i="31"/>
  <c r="X216" i="31" s="1"/>
  <c r="X443" i="31" s="1"/>
  <c r="X243" i="31"/>
  <c r="AB392" i="31"/>
  <c r="AB398" i="31"/>
  <c r="AK251" i="5"/>
  <c r="AJ257" i="5"/>
  <c r="AJ258" i="5" s="1"/>
  <c r="AJ252" i="5"/>
  <c r="AJ266" i="5" s="1"/>
  <c r="AJ263" i="5"/>
  <c r="AJ264" i="5" s="1"/>
  <c r="AA128" i="31"/>
  <c r="AA129" i="31" s="1"/>
  <c r="AB129" i="31" s="1"/>
  <c r="AB116" i="31"/>
  <c r="AA117" i="31"/>
  <c r="AA122" i="31"/>
  <c r="AA123" i="31" s="1"/>
  <c r="AB123" i="31" s="1"/>
  <c r="AC116" i="31"/>
  <c r="AH79" i="5"/>
  <c r="AH81" i="5" s="1"/>
  <c r="AH438" i="5" s="1"/>
  <c r="AH241" i="5"/>
  <c r="AH430" i="5"/>
  <c r="AH432" i="5" s="1"/>
  <c r="AH451" i="5" s="1"/>
  <c r="AI25" i="5"/>
  <c r="AH52" i="5"/>
  <c r="AH54" i="5" s="1"/>
  <c r="AH437" i="5" s="1"/>
  <c r="AH268" i="5"/>
  <c r="AH270" i="5" s="1"/>
  <c r="AH445" i="5" s="1"/>
  <c r="AH295" i="5"/>
  <c r="AH297" i="5" s="1"/>
  <c r="AH446" i="5" s="1"/>
  <c r="AH187" i="5"/>
  <c r="AH189" i="5" s="1"/>
  <c r="AH442" i="5" s="1"/>
  <c r="AH133" i="5"/>
  <c r="AH135" i="5" s="1"/>
  <c r="AH440" i="5" s="1"/>
  <c r="AH349" i="5"/>
  <c r="AH351" i="5" s="1"/>
  <c r="AH448" i="5" s="1"/>
  <c r="AH322" i="5"/>
  <c r="AH324" i="5" s="1"/>
  <c r="AH447" i="5" s="1"/>
  <c r="AH106" i="5"/>
  <c r="AH108" i="5" s="1"/>
  <c r="AH439" i="5" s="1"/>
  <c r="AH214" i="5"/>
  <c r="AH216" i="5" s="1"/>
  <c r="AH443" i="5" s="1"/>
  <c r="AH160" i="5"/>
  <c r="AH162" i="5" s="1"/>
  <c r="AH441" i="5" s="1"/>
  <c r="AH403" i="5"/>
  <c r="AH405" i="5" s="1"/>
  <c r="AH450" i="5" s="1"/>
  <c r="AH376" i="5"/>
  <c r="AH378" i="5" s="1"/>
  <c r="AH449" i="5" s="1"/>
  <c r="Y54" i="31"/>
  <c r="Y437" i="31" s="1"/>
  <c r="AK69" i="1"/>
  <c r="Z293" i="31"/>
  <c r="X374" i="31"/>
  <c r="X378" i="31" s="1"/>
  <c r="X449" i="31" s="1"/>
  <c r="Y135" i="31"/>
  <c r="Y440" i="31" s="1"/>
  <c r="AA36" i="31"/>
  <c r="AA41" i="31"/>
  <c r="AA42" i="31" s="1"/>
  <c r="AB42" i="31" s="1"/>
  <c r="AA47" i="31"/>
  <c r="AA48" i="31" s="1"/>
  <c r="AB48" i="31" s="1"/>
  <c r="AB35" i="31"/>
  <c r="Y239" i="31"/>
  <c r="Y243" i="31" s="1"/>
  <c r="Y444" i="31" s="1"/>
  <c r="X448" i="31"/>
  <c r="AB387" i="31"/>
  <c r="AH23" i="5"/>
  <c r="AH27" i="5" s="1"/>
  <c r="AH436" i="5" s="1"/>
  <c r="AA338" i="31"/>
  <c r="AA339" i="31" s="1"/>
  <c r="AB339" i="31" s="1"/>
  <c r="AB332" i="31"/>
  <c r="AA344" i="31"/>
  <c r="AA345" i="31" s="1"/>
  <c r="AB345" i="31" s="1"/>
  <c r="AA333" i="31"/>
  <c r="AA347" i="31" s="1"/>
  <c r="AC332" i="31"/>
  <c r="AO185" i="5"/>
  <c r="Z430" i="31"/>
  <c r="Z322" i="31"/>
  <c r="Z324" i="31" s="1"/>
  <c r="Z447" i="31" s="1"/>
  <c r="Z214" i="31"/>
  <c r="Z133" i="31"/>
  <c r="Z376" i="31"/>
  <c r="Z268" i="31"/>
  <c r="Z106" i="31"/>
  <c r="Z52" i="31"/>
  <c r="Z349" i="31"/>
  <c r="Z241" i="31"/>
  <c r="Z187" i="31"/>
  <c r="AA25" i="31"/>
  <c r="Z403" i="31"/>
  <c r="Z405" i="31" s="1"/>
  <c r="Z160" i="31"/>
  <c r="Z162" i="31" s="1"/>
  <c r="Z441" i="31" s="1"/>
  <c r="Z295" i="31"/>
  <c r="Z79" i="31"/>
  <c r="Z81" i="31" s="1"/>
  <c r="Z438" i="31" s="1"/>
  <c r="Z197" i="31"/>
  <c r="Y209" i="31"/>
  <c r="Y210" i="31" s="1"/>
  <c r="Y203" i="31"/>
  <c r="Y204" i="31" s="1"/>
  <c r="Y198" i="31"/>
  <c r="Y212" i="31" s="1"/>
  <c r="Y216" i="31" s="1"/>
  <c r="Y443" i="31" s="1"/>
  <c r="X432" i="31"/>
  <c r="Z257" i="31"/>
  <c r="Z258" i="31" s="1"/>
  <c r="Z263" i="31"/>
  <c r="Z264" i="31" s="1"/>
  <c r="AA251" i="31"/>
  <c r="Z252" i="31"/>
  <c r="Y108" i="31"/>
  <c r="Y439" i="31" s="1"/>
  <c r="Z104" i="31"/>
  <c r="Z108" i="31" s="1"/>
  <c r="Z439" i="31" s="1"/>
  <c r="AI14" i="5"/>
  <c r="AI15" i="5" s="1"/>
  <c r="AI9" i="5"/>
  <c r="AJ8" i="5"/>
  <c r="AI20" i="5"/>
  <c r="AI21" i="5" s="1"/>
  <c r="Z131" i="31"/>
  <c r="Y428" i="31"/>
  <c r="Y432" i="31" s="1"/>
  <c r="Y451" i="31" s="1"/>
  <c r="U452" i="31"/>
  <c r="AC36" i="7"/>
  <c r="AC37" i="7" s="1"/>
  <c r="AN401" i="5"/>
  <c r="AC3" i="7"/>
  <c r="AC466" i="5"/>
  <c r="AN347" i="5"/>
  <c r="AO117" i="5"/>
  <c r="AO128" i="5"/>
  <c r="AO129" i="5" s="1"/>
  <c r="AO122" i="5"/>
  <c r="AE243" i="5"/>
  <c r="AE456" i="5"/>
  <c r="AE457" i="5" s="1"/>
  <c r="AG225" i="5"/>
  <c r="AG463" i="5" s="1"/>
  <c r="AF239" i="5"/>
  <c r="AF243" i="5" s="1"/>
  <c r="AF444" i="5" s="1"/>
  <c r="AF463" i="5"/>
  <c r="AF465" i="5" s="1"/>
  <c r="AO428" i="5"/>
  <c r="AD3" i="7"/>
  <c r="AD466" i="5"/>
  <c r="S21" i="16"/>
  <c r="S7" i="11"/>
  <c r="T19" i="16"/>
  <c r="T182" i="1"/>
  <c r="T183" i="1" s="1"/>
  <c r="S183" i="1" s="1"/>
  <c r="S8" i="16" s="1"/>
  <c r="T175" i="1"/>
  <c r="S175" i="1" s="1"/>
  <c r="S7" i="16" s="1"/>
  <c r="AO123" i="5"/>
  <c r="AO387" i="5"/>
  <c r="AO398" i="5"/>
  <c r="AO399" i="5" s="1"/>
  <c r="AO392" i="5"/>
  <c r="AO393" i="5" s="1"/>
  <c r="AO344" i="5"/>
  <c r="AO345" i="5" s="1"/>
  <c r="AO338" i="5"/>
  <c r="AO339" i="5" s="1"/>
  <c r="AO333" i="5"/>
  <c r="AO347" i="5" s="1"/>
  <c r="AG236" i="5"/>
  <c r="AG230" i="5"/>
  <c r="AH230" i="5"/>
  <c r="AH231" i="5" s="1"/>
  <c r="AH236" i="5"/>
  <c r="AH237" i="5" s="1"/>
  <c r="AH225" i="5"/>
  <c r="AI224" i="5"/>
  <c r="AC12" i="7"/>
  <c r="AD6" i="7"/>
  <c r="AD10" i="7" s="1"/>
  <c r="AD12" i="7" s="1"/>
  <c r="S4" i="11"/>
  <c r="S45" i="7"/>
  <c r="DW39" i="7"/>
  <c r="AB40" i="7"/>
  <c r="AF76" i="1"/>
  <c r="AF26" i="7" s="1"/>
  <c r="AG65" i="1"/>
  <c r="AG70" i="1"/>
  <c r="AH63" i="1"/>
  <c r="AD27" i="7"/>
  <c r="AD178" i="1" s="1"/>
  <c r="AD94" i="1"/>
  <c r="AF89" i="1"/>
  <c r="AE93" i="1"/>
  <c r="AE27" i="7" s="1"/>
  <c r="AE178" i="1" s="1"/>
  <c r="AE28" i="1"/>
  <c r="AE32" i="1" s="1"/>
  <c r="AE20" i="7" s="1"/>
  <c r="AE16" i="7"/>
  <c r="AD38" i="1"/>
  <c r="AD21" i="7"/>
  <c r="AA40" i="7"/>
  <c r="AA13" i="7"/>
  <c r="AI142" i="1"/>
  <c r="AI144" i="1" s="1"/>
  <c r="AJ317" i="5"/>
  <c r="AI318" i="5"/>
  <c r="AI320" i="5" s="1"/>
  <c r="AE447" i="5"/>
  <c r="AG324" i="5"/>
  <c r="AG447" i="5" s="1"/>
  <c r="AO374" i="5"/>
  <c r="M17" i="12"/>
  <c r="M6" i="12"/>
  <c r="AF35" i="1"/>
  <c r="AG8" i="1"/>
  <c r="AF10" i="1"/>
  <c r="AF16" i="7" s="1"/>
  <c r="AE189" i="1"/>
  <c r="AE190" i="1" s="1"/>
  <c r="AE14" i="11" s="1"/>
  <c r="AE37" i="1"/>
  <c r="AE21" i="7" s="1"/>
  <c r="AO104" i="5"/>
  <c r="AF27" i="5"/>
  <c r="AF456" i="5"/>
  <c r="AF457" i="5" s="1"/>
  <c r="AG23" i="5"/>
  <c r="AJ41" i="5"/>
  <c r="AJ42" i="5" s="1"/>
  <c r="AJ47" i="5"/>
  <c r="AJ48" i="5" s="1"/>
  <c r="AJ36" i="5"/>
  <c r="AK35" i="5"/>
  <c r="AF438" i="5"/>
  <c r="AG438" i="5" s="1"/>
  <c r="AG81" i="5"/>
  <c r="AF437" i="5"/>
  <c r="AG437" i="5" s="1"/>
  <c r="AG54" i="5"/>
  <c r="AI74" i="5"/>
  <c r="AI75" i="5" s="1"/>
  <c r="AI68" i="5"/>
  <c r="AI69" i="5" s="1"/>
  <c r="AJ62" i="5"/>
  <c r="AI63" i="5"/>
  <c r="AI50" i="5"/>
  <c r="Z450" i="31" l="1"/>
  <c r="AL69" i="1"/>
  <c r="AD89" i="31"/>
  <c r="AC90" i="31"/>
  <c r="AC101" i="31"/>
  <c r="AC102" i="31" s="1"/>
  <c r="AC95" i="31"/>
  <c r="AC96" i="31" s="1"/>
  <c r="AM312" i="5"/>
  <c r="AN311" i="5"/>
  <c r="AJ20" i="5"/>
  <c r="AJ21" i="5" s="1"/>
  <c r="AK8" i="5"/>
  <c r="AJ14" i="5"/>
  <c r="AJ15" i="5" s="1"/>
  <c r="AJ9" i="5"/>
  <c r="AA403" i="31"/>
  <c r="AA405" i="31" s="1"/>
  <c r="AA450" i="31" s="1"/>
  <c r="AA349" i="31"/>
  <c r="AA351" i="31" s="1"/>
  <c r="AA448" i="31" s="1"/>
  <c r="AB25" i="31"/>
  <c r="AA187" i="31"/>
  <c r="AA430" i="31"/>
  <c r="AA106" i="31"/>
  <c r="AA268" i="31"/>
  <c r="AA160" i="31"/>
  <c r="AA162" i="31" s="1"/>
  <c r="AA214" i="31"/>
  <c r="AA52" i="31"/>
  <c r="AA241" i="31"/>
  <c r="AA79" i="31"/>
  <c r="AA81" i="31" s="1"/>
  <c r="AA295" i="31"/>
  <c r="AA133" i="31"/>
  <c r="AA322" i="31"/>
  <c r="AA324" i="31" s="1"/>
  <c r="AA447" i="31" s="1"/>
  <c r="AA376" i="31"/>
  <c r="AA50" i="31"/>
  <c r="AB36" i="31"/>
  <c r="AB122" i="31"/>
  <c r="AB128" i="31"/>
  <c r="AE158" i="31"/>
  <c r="AO131" i="5"/>
  <c r="AI23" i="5"/>
  <c r="AI27" i="5" s="1"/>
  <c r="AI436" i="5" s="1"/>
  <c r="Z266" i="31"/>
  <c r="Z270" i="31" s="1"/>
  <c r="Z445" i="31" s="1"/>
  <c r="AB338" i="31"/>
  <c r="AB344" i="31"/>
  <c r="AB41" i="31"/>
  <c r="AB47" i="31"/>
  <c r="AC35" i="31"/>
  <c r="Z297" i="31"/>
  <c r="AI52" i="5"/>
  <c r="AI349" i="5"/>
  <c r="AI351" i="5" s="1"/>
  <c r="AI448" i="5" s="1"/>
  <c r="AJ25" i="5"/>
  <c r="AI106" i="5"/>
  <c r="AI108" i="5" s="1"/>
  <c r="AI439" i="5" s="1"/>
  <c r="AI241" i="5"/>
  <c r="AI295" i="5"/>
  <c r="AI297" i="5" s="1"/>
  <c r="AI446" i="5" s="1"/>
  <c r="AI214" i="5"/>
  <c r="AI216" i="5" s="1"/>
  <c r="AI443" i="5" s="1"/>
  <c r="AI376" i="5"/>
  <c r="AI378" i="5" s="1"/>
  <c r="AI449" i="5" s="1"/>
  <c r="AI133" i="5"/>
  <c r="AI135" i="5" s="1"/>
  <c r="AI440" i="5" s="1"/>
  <c r="AI430" i="5"/>
  <c r="AI432" i="5" s="1"/>
  <c r="AI451" i="5" s="1"/>
  <c r="AI79" i="5"/>
  <c r="AI160" i="5"/>
  <c r="AI162" i="5" s="1"/>
  <c r="AI441" i="5" s="1"/>
  <c r="AI403" i="5"/>
  <c r="AI405" i="5" s="1"/>
  <c r="AI450" i="5" s="1"/>
  <c r="AI187" i="5"/>
  <c r="AI189" i="5" s="1"/>
  <c r="AI442" i="5" s="1"/>
  <c r="AI322" i="5"/>
  <c r="AI268" i="5"/>
  <c r="AI270" i="5" s="1"/>
  <c r="AI445" i="5" s="1"/>
  <c r="AC128" i="31"/>
  <c r="AC129" i="31" s="1"/>
  <c r="AD116" i="31"/>
  <c r="AC117" i="31"/>
  <c r="AC122" i="31"/>
  <c r="AC123" i="31" s="1"/>
  <c r="AK252" i="5"/>
  <c r="AK266" i="5" s="1"/>
  <c r="AK263" i="5"/>
  <c r="AK264" i="5" s="1"/>
  <c r="AL251" i="5"/>
  <c r="AK257" i="5"/>
  <c r="AK258" i="5" s="1"/>
  <c r="X444" i="31"/>
  <c r="Z239" i="31"/>
  <c r="Z243" i="31" s="1"/>
  <c r="Z444" i="31" s="1"/>
  <c r="AA359" i="31"/>
  <c r="Z371" i="31"/>
  <c r="Z372" i="31" s="1"/>
  <c r="Z365" i="31"/>
  <c r="Z366" i="31" s="1"/>
  <c r="Z360" i="31"/>
  <c r="AB413" i="31"/>
  <c r="AA425" i="31"/>
  <c r="AA426" i="31" s="1"/>
  <c r="AB426" i="31" s="1"/>
  <c r="AC413" i="31"/>
  <c r="AA419" i="31"/>
  <c r="AA420" i="31" s="1"/>
  <c r="AB420" i="31" s="1"/>
  <c r="AA414" i="31"/>
  <c r="Y23" i="31"/>
  <c r="Y463" i="31"/>
  <c r="Y465" i="31" s="1"/>
  <c r="Y445" i="31"/>
  <c r="AB284" i="31"/>
  <c r="AB290" i="31"/>
  <c r="AF155" i="31"/>
  <c r="AF156" i="31" s="1"/>
  <c r="AF149" i="31"/>
  <c r="AF150" i="31" s="1"/>
  <c r="AG143" i="31"/>
  <c r="AF144" i="31"/>
  <c r="AA176" i="31"/>
  <c r="AA177" i="31" s="1"/>
  <c r="AB177" i="31" s="1"/>
  <c r="AC170" i="31"/>
  <c r="AA182" i="31"/>
  <c r="AA183" i="31" s="1"/>
  <c r="AB183" i="31" s="1"/>
  <c r="AB170" i="31"/>
  <c r="AA171" i="31"/>
  <c r="AA131" i="31"/>
  <c r="AA135" i="31" s="1"/>
  <c r="AA440" i="31" s="1"/>
  <c r="AB117" i="31"/>
  <c r="Y442" i="31"/>
  <c r="Z351" i="31"/>
  <c r="AI324" i="5"/>
  <c r="AI447" i="5" s="1"/>
  <c r="Z428" i="31"/>
  <c r="Z432" i="31" s="1"/>
  <c r="Z451" i="31" s="1"/>
  <c r="AA104" i="31"/>
  <c r="AB90" i="31"/>
  <c r="Z9" i="31"/>
  <c r="Z20" i="31"/>
  <c r="Z21" i="31" s="1"/>
  <c r="Z14" i="31"/>
  <c r="Z15" i="31" s="1"/>
  <c r="AA8" i="31"/>
  <c r="AA293" i="31"/>
  <c r="AB279" i="31"/>
  <c r="AC290" i="31"/>
  <c r="AC291" i="31" s="1"/>
  <c r="AC284" i="31"/>
  <c r="AC285" i="31" s="1"/>
  <c r="AD278" i="31"/>
  <c r="AC279" i="31"/>
  <c r="AD398" i="31"/>
  <c r="AD399" i="31" s="1"/>
  <c r="AE386" i="31"/>
  <c r="AD387" i="31"/>
  <c r="AD392" i="31"/>
  <c r="AD393" i="31" s="1"/>
  <c r="Z185" i="31"/>
  <c r="Z189" i="31" s="1"/>
  <c r="Z442" i="31" s="1"/>
  <c r="Z135" i="31"/>
  <c r="AB131" i="31"/>
  <c r="AA263" i="31"/>
  <c r="AA264" i="31" s="1"/>
  <c r="AB264" i="31" s="1"/>
  <c r="AA257" i="31"/>
  <c r="AA258" i="31" s="1"/>
  <c r="AB258" i="31" s="1"/>
  <c r="AB251" i="31"/>
  <c r="AC251" i="31"/>
  <c r="AA252" i="31"/>
  <c r="X451" i="31"/>
  <c r="AA197" i="31"/>
  <c r="Z209" i="31"/>
  <c r="Z210" i="31" s="1"/>
  <c r="Z203" i="31"/>
  <c r="Z204" i="31" s="1"/>
  <c r="Z198" i="31"/>
  <c r="AC338" i="31"/>
  <c r="AC339" i="31" s="1"/>
  <c r="AD332" i="31"/>
  <c r="AC333" i="31"/>
  <c r="AC347" i="31" s="1"/>
  <c r="AC344" i="31"/>
  <c r="AC345" i="31" s="1"/>
  <c r="AB324" i="31"/>
  <c r="AB447" i="31" s="1"/>
  <c r="AB224" i="31"/>
  <c r="AC224" i="31"/>
  <c r="AA236" i="31"/>
  <c r="AA237" i="31" s="1"/>
  <c r="AB237" i="31" s="1"/>
  <c r="AA230" i="31"/>
  <c r="AA231" i="31" s="1"/>
  <c r="AB231" i="31" s="1"/>
  <c r="AA225" i="31"/>
  <c r="Z54" i="31"/>
  <c r="Z437" i="31" s="1"/>
  <c r="AB101" i="31"/>
  <c r="AB95" i="31"/>
  <c r="AB333" i="31"/>
  <c r="X456" i="31"/>
  <c r="X457" i="31" s="1"/>
  <c r="X27" i="31"/>
  <c r="AG26" i="7"/>
  <c r="AC39" i="7"/>
  <c r="AC4" i="11" s="1"/>
  <c r="AH239" i="5"/>
  <c r="AH463" i="5"/>
  <c r="AH465" i="5" s="1"/>
  <c r="AO401" i="5"/>
  <c r="AD6" i="12"/>
  <c r="AD17" i="12"/>
  <c r="AD24" i="12" s="1"/>
  <c r="S24" i="16"/>
  <c r="T21" i="16"/>
  <c r="T24" i="16" s="1"/>
  <c r="AD130" i="1"/>
  <c r="AD50" i="1"/>
  <c r="AD133" i="1"/>
  <c r="AD44" i="1"/>
  <c r="AD125" i="1"/>
  <c r="AD108" i="1"/>
  <c r="AD174" i="1"/>
  <c r="AD182" i="1" s="1"/>
  <c r="AD47" i="1"/>
  <c r="AD41" i="1"/>
  <c r="AD122" i="1"/>
  <c r="AD77" i="1"/>
  <c r="AD114" i="1"/>
  <c r="AD111" i="1"/>
  <c r="AD13" i="7"/>
  <c r="AF8" i="7"/>
  <c r="AG8" i="7" s="1"/>
  <c r="AG465" i="5"/>
  <c r="AG239" i="5"/>
  <c r="AG456" i="5"/>
  <c r="AG457" i="5" s="1"/>
  <c r="DW45" i="7"/>
  <c r="S151" i="1"/>
  <c r="AI236" i="5"/>
  <c r="AI237" i="5" s="1"/>
  <c r="AJ224" i="5"/>
  <c r="AI225" i="5"/>
  <c r="AI230" i="5"/>
  <c r="AI231" i="5" s="1"/>
  <c r="AE6" i="7"/>
  <c r="AE10" i="7" s="1"/>
  <c r="AE444" i="5"/>
  <c r="AE452" i="5" s="1"/>
  <c r="AG243" i="5"/>
  <c r="AG444" i="5" s="1"/>
  <c r="AC130" i="1"/>
  <c r="AC111" i="1"/>
  <c r="AC125" i="1"/>
  <c r="AC47" i="1"/>
  <c r="AC122" i="1"/>
  <c r="AC77" i="1"/>
  <c r="AC174" i="1"/>
  <c r="AC182" i="1" s="1"/>
  <c r="AC44" i="1"/>
  <c r="AC114" i="1"/>
  <c r="AC41" i="1"/>
  <c r="AC50" i="1"/>
  <c r="AC133" i="1"/>
  <c r="AC108" i="1"/>
  <c r="AC13" i="7"/>
  <c r="AC94" i="1"/>
  <c r="AC38" i="1"/>
  <c r="AG76" i="1"/>
  <c r="AD36" i="7"/>
  <c r="AD37" i="7" s="1"/>
  <c r="AH70" i="1"/>
  <c r="AH72" i="1" s="1"/>
  <c r="AI63" i="1"/>
  <c r="AH65" i="1"/>
  <c r="AG89" i="1"/>
  <c r="AF93" i="1"/>
  <c r="AF27" i="7" s="1"/>
  <c r="AG27" i="7" s="1"/>
  <c r="AG16" i="7"/>
  <c r="AC40" i="7"/>
  <c r="AE36" i="7"/>
  <c r="AF6" i="7"/>
  <c r="AF10" i="7" s="1"/>
  <c r="AG13" i="18"/>
  <c r="AJ142" i="1"/>
  <c r="AJ144" i="1" s="1"/>
  <c r="AK317" i="5"/>
  <c r="AJ318" i="5"/>
  <c r="AJ320" i="5" s="1"/>
  <c r="AG35" i="1"/>
  <c r="AH8" i="1"/>
  <c r="AF28" i="1"/>
  <c r="AF32" i="1" s="1"/>
  <c r="AF20" i="7" s="1"/>
  <c r="AG10" i="1"/>
  <c r="AG28" i="1" s="1"/>
  <c r="AG32" i="1" s="1"/>
  <c r="AF189" i="1"/>
  <c r="AF190" i="1" s="1"/>
  <c r="AF37" i="1"/>
  <c r="AF21" i="7" s="1"/>
  <c r="AG21" i="7" s="1"/>
  <c r="AF13" i="18"/>
  <c r="AI77" i="5"/>
  <c r="AK41" i="5"/>
  <c r="AK42" i="5" s="1"/>
  <c r="AK47" i="5"/>
  <c r="AK48" i="5" s="1"/>
  <c r="AK36" i="5"/>
  <c r="AL35" i="5"/>
  <c r="AI54" i="5"/>
  <c r="AI437" i="5" s="1"/>
  <c r="AK62" i="5"/>
  <c r="AJ74" i="5"/>
  <c r="AJ75" i="5" s="1"/>
  <c r="AJ68" i="5"/>
  <c r="AJ69" i="5" s="1"/>
  <c r="AJ63" i="5"/>
  <c r="AJ50" i="5"/>
  <c r="AF436" i="5"/>
  <c r="AG27" i="5"/>
  <c r="T5" i="12"/>
  <c r="S5" i="12"/>
  <c r="R5" i="12"/>
  <c r="Q5" i="12"/>
  <c r="DH28" i="7"/>
  <c r="EA28" i="7" s="1"/>
  <c r="DI28" i="7"/>
  <c r="EB28" i="7" s="1"/>
  <c r="AE13" i="18"/>
  <c r="AC197" i="31" l="1"/>
  <c r="AB197" i="31"/>
  <c r="AA203" i="31"/>
  <c r="AA204" i="31" s="1"/>
  <c r="AB204" i="31" s="1"/>
  <c r="AA209" i="31"/>
  <c r="AA210" i="31" s="1"/>
  <c r="AB210" i="31" s="1"/>
  <c r="AA198" i="31"/>
  <c r="AD251" i="31"/>
  <c r="AC257" i="31"/>
  <c r="AC258" i="31" s="1"/>
  <c r="AC263" i="31"/>
  <c r="AC264" i="31" s="1"/>
  <c r="AC252" i="31"/>
  <c r="AC266" i="31" s="1"/>
  <c r="AD401" i="31"/>
  <c r="AD290" i="31"/>
  <c r="AD291" i="31" s="1"/>
  <c r="AD284" i="31"/>
  <c r="AD285" i="31" s="1"/>
  <c r="AE278" i="31"/>
  <c r="AD279" i="31"/>
  <c r="AA297" i="31"/>
  <c r="AA446" i="31" s="1"/>
  <c r="AB293" i="31"/>
  <c r="Z463" i="31"/>
  <c r="Z465" i="31" s="1"/>
  <c r="Z23" i="31"/>
  <c r="AA185" i="31"/>
  <c r="AB171" i="31"/>
  <c r="Z374" i="31"/>
  <c r="AM251" i="5"/>
  <c r="AL252" i="5"/>
  <c r="AL263" i="5"/>
  <c r="AL264" i="5" s="1"/>
  <c r="AL257" i="5"/>
  <c r="AL258" i="5" s="1"/>
  <c r="AC131" i="31"/>
  <c r="AJ106" i="5"/>
  <c r="AJ108" i="5" s="1"/>
  <c r="AJ439" i="5" s="1"/>
  <c r="AJ376" i="5"/>
  <c r="AJ378" i="5" s="1"/>
  <c r="AJ449" i="5" s="1"/>
  <c r="AJ79" i="5"/>
  <c r="AJ133" i="5"/>
  <c r="AJ135" i="5" s="1"/>
  <c r="AJ440" i="5" s="1"/>
  <c r="AJ430" i="5"/>
  <c r="AJ432" i="5" s="1"/>
  <c r="AJ451" i="5" s="1"/>
  <c r="AJ187" i="5"/>
  <c r="AJ189" i="5" s="1"/>
  <c r="AJ442" i="5" s="1"/>
  <c r="AJ349" i="5"/>
  <c r="AJ351" i="5" s="1"/>
  <c r="AJ448" i="5" s="1"/>
  <c r="AJ214" i="5"/>
  <c r="AJ216" i="5" s="1"/>
  <c r="AJ443" i="5" s="1"/>
  <c r="AK25" i="5"/>
  <c r="AJ403" i="5"/>
  <c r="AJ405" i="5" s="1"/>
  <c r="AJ450" i="5" s="1"/>
  <c r="AJ160" i="5"/>
  <c r="AJ162" i="5" s="1"/>
  <c r="AJ441" i="5" s="1"/>
  <c r="AJ241" i="5"/>
  <c r="AJ52" i="5"/>
  <c r="AJ54" i="5" s="1"/>
  <c r="AJ437" i="5" s="1"/>
  <c r="AJ268" i="5"/>
  <c r="AJ270" i="5" s="1"/>
  <c r="AJ445" i="5" s="1"/>
  <c r="AJ295" i="5"/>
  <c r="AJ297" i="5" s="1"/>
  <c r="AJ446" i="5" s="1"/>
  <c r="AJ322" i="5"/>
  <c r="AC47" i="31"/>
  <c r="AC48" i="31" s="1"/>
  <c r="AC41" i="31"/>
  <c r="AC42" i="31" s="1"/>
  <c r="AC36" i="31"/>
  <c r="AC50" i="31" s="1"/>
  <c r="AD35" i="31"/>
  <c r="AB403" i="31"/>
  <c r="AB376" i="31"/>
  <c r="AB430" i="31"/>
  <c r="AB268" i="31"/>
  <c r="AB52" i="31"/>
  <c r="AB214" i="31"/>
  <c r="AB106" i="31"/>
  <c r="AB322" i="31"/>
  <c r="AB133" i="31"/>
  <c r="AC25" i="31"/>
  <c r="AB241" i="31"/>
  <c r="AB79" i="31"/>
  <c r="AB295" i="31"/>
  <c r="AB187" i="31"/>
  <c r="AB349" i="31"/>
  <c r="AB160" i="31"/>
  <c r="AD90" i="31"/>
  <c r="AD95" i="31"/>
  <c r="AD96" i="31" s="1"/>
  <c r="AD101" i="31"/>
  <c r="AD102" i="31" s="1"/>
  <c r="AE89" i="31"/>
  <c r="X436" i="31"/>
  <c r="Z212" i="31"/>
  <c r="Z216" i="31" s="1"/>
  <c r="Z443" i="31" s="1"/>
  <c r="AB257" i="31"/>
  <c r="AB263" i="31"/>
  <c r="Z440" i="31"/>
  <c r="AB135" i="31"/>
  <c r="AE392" i="31"/>
  <c r="AE393" i="31" s="1"/>
  <c r="AF386" i="31"/>
  <c r="AE398" i="31"/>
  <c r="AE399" i="31" s="1"/>
  <c r="AE387" i="31"/>
  <c r="AE401" i="31" s="1"/>
  <c r="AA14" i="31"/>
  <c r="AA15" i="31" s="1"/>
  <c r="AB15" i="31" s="1"/>
  <c r="AA9" i="31"/>
  <c r="AA20" i="31"/>
  <c r="AA21" i="31" s="1"/>
  <c r="AB21" i="31" s="1"/>
  <c r="AB8" i="31"/>
  <c r="AB182" i="31"/>
  <c r="AB176" i="31"/>
  <c r="AF158" i="31"/>
  <c r="AC419" i="31"/>
  <c r="AC420" i="31" s="1"/>
  <c r="AC425" i="31"/>
  <c r="AC426" i="31" s="1"/>
  <c r="AD413" i="31"/>
  <c r="AC414" i="31"/>
  <c r="AD122" i="31"/>
  <c r="AD123" i="31" s="1"/>
  <c r="AD128" i="31"/>
  <c r="AD129" i="31" s="1"/>
  <c r="AD117" i="31"/>
  <c r="AE116" i="31"/>
  <c r="AL8" i="5"/>
  <c r="AK9" i="5"/>
  <c r="AK14" i="5"/>
  <c r="AK15" i="5" s="1"/>
  <c r="AK20" i="5"/>
  <c r="AK21" i="5" s="1"/>
  <c r="AD224" i="31"/>
  <c r="AC230" i="31"/>
  <c r="AC231" i="31" s="1"/>
  <c r="AC236" i="31"/>
  <c r="AC237" i="31" s="1"/>
  <c r="AC225" i="31"/>
  <c r="AA108" i="31"/>
  <c r="AB104" i="31"/>
  <c r="Z448" i="31"/>
  <c r="AB351" i="31"/>
  <c r="AB448" i="31" s="1"/>
  <c r="AB440" i="31"/>
  <c r="AG155" i="31"/>
  <c r="AG156" i="31" s="1"/>
  <c r="AG149" i="31"/>
  <c r="AG150" i="31" s="1"/>
  <c r="AG144" i="31"/>
  <c r="AH143" i="31"/>
  <c r="Y456" i="31"/>
  <c r="Y457" i="31" s="1"/>
  <c r="Y27" i="31"/>
  <c r="Y436" i="31" s="1"/>
  <c r="Y452" i="31" s="1"/>
  <c r="AA54" i="31"/>
  <c r="AB50" i="31"/>
  <c r="AM69" i="1"/>
  <c r="AB405" i="31"/>
  <c r="AB450" i="31" s="1"/>
  <c r="AI81" i="5"/>
  <c r="AI438" i="5" s="1"/>
  <c r="AJ324" i="5"/>
  <c r="AJ447" i="5" s="1"/>
  <c r="AA239" i="31"/>
  <c r="AB225" i="31"/>
  <c r="AB236" i="31"/>
  <c r="AB230" i="31"/>
  <c r="AD333" i="31"/>
  <c r="AD347" i="31" s="1"/>
  <c r="AD338" i="31"/>
  <c r="AD339" i="31" s="1"/>
  <c r="AD344" i="31"/>
  <c r="AD345" i="31" s="1"/>
  <c r="AE332" i="31"/>
  <c r="AA266" i="31"/>
  <c r="AB252" i="31"/>
  <c r="AC293" i="31"/>
  <c r="AC182" i="31"/>
  <c r="AC183" i="31" s="1"/>
  <c r="AD170" i="31"/>
  <c r="AC176" i="31"/>
  <c r="AC177" i="31" s="1"/>
  <c r="AC171" i="31"/>
  <c r="AC185" i="31" s="1"/>
  <c r="AA428" i="31"/>
  <c r="AB414" i="31"/>
  <c r="AB419" i="31"/>
  <c r="AB425" i="31"/>
  <c r="AA365" i="31"/>
  <c r="AA366" i="31" s="1"/>
  <c r="AB366" i="31" s="1"/>
  <c r="AC359" i="31"/>
  <c r="AB359" i="31"/>
  <c r="AA371" i="31"/>
  <c r="AA372" i="31" s="1"/>
  <c r="AB372" i="31" s="1"/>
  <c r="AA360" i="31"/>
  <c r="Z446" i="31"/>
  <c r="AA438" i="31"/>
  <c r="AB438" i="31" s="1"/>
  <c r="AB81" i="31"/>
  <c r="AA441" i="31"/>
  <c r="AB441" i="31" s="1"/>
  <c r="AB162" i="31"/>
  <c r="AJ23" i="5"/>
  <c r="AJ27" i="5" s="1"/>
  <c r="AJ436" i="5" s="1"/>
  <c r="AO311" i="5"/>
  <c r="AO312" i="5" s="1"/>
  <c r="AN312" i="5"/>
  <c r="AC104" i="31"/>
  <c r="AF178" i="1"/>
  <c r="AG178" i="1" s="1"/>
  <c r="AG179" i="1" s="1"/>
  <c r="AF179" i="1" s="1"/>
  <c r="AE466" i="5"/>
  <c r="AE3" i="7"/>
  <c r="AE37" i="7" s="1"/>
  <c r="AK224" i="5"/>
  <c r="AJ225" i="5"/>
  <c r="AJ236" i="5"/>
  <c r="AJ237" i="5" s="1"/>
  <c r="AJ230" i="5"/>
  <c r="AJ231" i="5" s="1"/>
  <c r="AH243" i="5"/>
  <c r="AH444" i="5" s="1"/>
  <c r="AH452" i="5" s="1"/>
  <c r="AH3" i="7" s="1"/>
  <c r="AH41" i="1" s="1"/>
  <c r="AH456" i="5"/>
  <c r="AH457" i="5" s="1"/>
  <c r="AI239" i="5"/>
  <c r="AI243" i="5" s="1"/>
  <c r="AI444" i="5" s="1"/>
  <c r="AI452" i="5" s="1"/>
  <c r="AI463" i="5"/>
  <c r="AI465" i="5" s="1"/>
  <c r="AI8" i="7" s="1"/>
  <c r="DH8" i="7" s="1"/>
  <c r="EA8" i="7" s="1"/>
  <c r="AH8" i="7"/>
  <c r="DG8" i="7" s="1"/>
  <c r="DZ8" i="7" s="1"/>
  <c r="AH76" i="1"/>
  <c r="AH26" i="7" s="1"/>
  <c r="DG26" i="7" s="1"/>
  <c r="DZ26" i="7" s="1"/>
  <c r="AD39" i="7"/>
  <c r="AD4" i="11" s="1"/>
  <c r="AJ63" i="1"/>
  <c r="AI65" i="1"/>
  <c r="AI70" i="1"/>
  <c r="AI72" i="1" s="1"/>
  <c r="AH89" i="1"/>
  <c r="AG93" i="1"/>
  <c r="AF36" i="7"/>
  <c r="AG190" i="1"/>
  <c r="AG14" i="11" s="1"/>
  <c r="AF14" i="11"/>
  <c r="AG20" i="7"/>
  <c r="AG36" i="7" s="1"/>
  <c r="AF19" i="16"/>
  <c r="AK142" i="1"/>
  <c r="AK144" i="1" s="1"/>
  <c r="AK318" i="5"/>
  <c r="AK320" i="5" s="1"/>
  <c r="AL317" i="5"/>
  <c r="AH114" i="1"/>
  <c r="AH125" i="1"/>
  <c r="AH130" i="1"/>
  <c r="AE179" i="1"/>
  <c r="AH35" i="1"/>
  <c r="AI8" i="1"/>
  <c r="AH10" i="1"/>
  <c r="AG189" i="1"/>
  <c r="AG37" i="1"/>
  <c r="AJ77" i="5"/>
  <c r="AJ81" i="5" s="1"/>
  <c r="AJ438" i="5" s="1"/>
  <c r="AI456" i="5"/>
  <c r="AI457" i="5" s="1"/>
  <c r="AL41" i="5"/>
  <c r="AL42" i="5" s="1"/>
  <c r="AL47" i="5"/>
  <c r="AL48" i="5" s="1"/>
  <c r="AL36" i="5"/>
  <c r="AM35" i="5"/>
  <c r="AF452" i="5"/>
  <c r="AG436" i="5"/>
  <c r="AG452" i="5" s="1"/>
  <c r="AK74" i="5"/>
  <c r="AK75" i="5" s="1"/>
  <c r="AK68" i="5"/>
  <c r="AK69" i="5" s="1"/>
  <c r="AL62" i="5"/>
  <c r="AK63" i="5"/>
  <c r="AG6" i="7"/>
  <c r="AG10" i="7" s="1"/>
  <c r="AK50" i="5"/>
  <c r="AC189" i="31" l="1"/>
  <c r="AC442" i="31" s="1"/>
  <c r="AN69" i="1"/>
  <c r="AC239" i="31"/>
  <c r="AM8" i="5"/>
  <c r="AL9" i="5"/>
  <c r="AL14" i="5"/>
  <c r="AL15" i="5" s="1"/>
  <c r="AL20" i="5"/>
  <c r="AL21" i="5" s="1"/>
  <c r="AD419" i="31"/>
  <c r="AD420" i="31" s="1"/>
  <c r="AE413" i="31"/>
  <c r="AD425" i="31"/>
  <c r="AD426" i="31" s="1"/>
  <c r="AD414" i="31"/>
  <c r="AD428" i="31" s="1"/>
  <c r="AA463" i="31"/>
  <c r="AA465" i="31" s="1"/>
  <c r="AB465" i="31" s="1"/>
  <c r="AA23" i="31"/>
  <c r="AB9" i="31"/>
  <c r="AB463" i="31" s="1"/>
  <c r="AG386" i="31"/>
  <c r="AF398" i="31"/>
  <c r="AF399" i="31" s="1"/>
  <c r="AF387" i="31"/>
  <c r="AF392" i="31"/>
  <c r="AF393" i="31" s="1"/>
  <c r="X452" i="31"/>
  <c r="AD104" i="31"/>
  <c r="AK268" i="5"/>
  <c r="AK270" i="5" s="1"/>
  <c r="AK445" i="5" s="1"/>
  <c r="AK349" i="5"/>
  <c r="AK351" i="5" s="1"/>
  <c r="AK448" i="5" s="1"/>
  <c r="AK133" i="5"/>
  <c r="AK135" i="5" s="1"/>
  <c r="AK440" i="5" s="1"/>
  <c r="AK187" i="5"/>
  <c r="AK189" i="5" s="1"/>
  <c r="AK442" i="5" s="1"/>
  <c r="AL25" i="5"/>
  <c r="AK403" i="5"/>
  <c r="AK405" i="5" s="1"/>
  <c r="AK450" i="5" s="1"/>
  <c r="AK52" i="5"/>
  <c r="AK295" i="5"/>
  <c r="AK297" i="5" s="1"/>
  <c r="AK446" i="5" s="1"/>
  <c r="AK79" i="5"/>
  <c r="AK322" i="5"/>
  <c r="AK324" i="5" s="1"/>
  <c r="AK447" i="5" s="1"/>
  <c r="AK160" i="5"/>
  <c r="AK162" i="5" s="1"/>
  <c r="AK441" i="5" s="1"/>
  <c r="AK241" i="5"/>
  <c r="AK376" i="5"/>
  <c r="AK378" i="5" s="1"/>
  <c r="AK449" i="5" s="1"/>
  <c r="AK430" i="5"/>
  <c r="AK432" i="5" s="1"/>
  <c r="AK451" i="5" s="1"/>
  <c r="AK214" i="5"/>
  <c r="AK216" i="5" s="1"/>
  <c r="AK443" i="5" s="1"/>
  <c r="AK106" i="5"/>
  <c r="AK108" i="5" s="1"/>
  <c r="AK439" i="5" s="1"/>
  <c r="AL266" i="5"/>
  <c r="AA189" i="31"/>
  <c r="AB185" i="31"/>
  <c r="AB297" i="31"/>
  <c r="AB446" i="31" s="1"/>
  <c r="AB371" i="31"/>
  <c r="AB365" i="31"/>
  <c r="AF89" i="31"/>
  <c r="AE101" i="31"/>
  <c r="AE102" i="31" s="1"/>
  <c r="AE90" i="31"/>
  <c r="AE104" i="31" s="1"/>
  <c r="AE95" i="31"/>
  <c r="AE96" i="31" s="1"/>
  <c r="AD47" i="31"/>
  <c r="AD48" i="31" s="1"/>
  <c r="AD36" i="31"/>
  <c r="AD41" i="31"/>
  <c r="AD42" i="31" s="1"/>
  <c r="AE35" i="31"/>
  <c r="AM257" i="5"/>
  <c r="AM258" i="5" s="1"/>
  <c r="AM252" i="5"/>
  <c r="AM266" i="5" s="1"/>
  <c r="AN251" i="5"/>
  <c r="AM263" i="5"/>
  <c r="AM264" i="5" s="1"/>
  <c r="Z27" i="31"/>
  <c r="Z436" i="31" s="1"/>
  <c r="Z456" i="31"/>
  <c r="Z457" i="31" s="1"/>
  <c r="AD293" i="31"/>
  <c r="AD263" i="31"/>
  <c r="AD264" i="31" s="1"/>
  <c r="AD257" i="31"/>
  <c r="AD258" i="31" s="1"/>
  <c r="AE251" i="31"/>
  <c r="AD252" i="31"/>
  <c r="AB209" i="31"/>
  <c r="AB203" i="31"/>
  <c r="AC365" i="31"/>
  <c r="AC366" i="31" s="1"/>
  <c r="AD359" i="31"/>
  <c r="AC371" i="31"/>
  <c r="AC372" i="31" s="1"/>
  <c r="AC360" i="31"/>
  <c r="AD182" i="31"/>
  <c r="AD183" i="31" s="1"/>
  <c r="AD176" i="31"/>
  <c r="AD177" i="31" s="1"/>
  <c r="AE170" i="31"/>
  <c r="AD171" i="31"/>
  <c r="AD185" i="31" s="1"/>
  <c r="AA270" i="31"/>
  <c r="AB266" i="31"/>
  <c r="AA243" i="31"/>
  <c r="AB239" i="31"/>
  <c r="AA437" i="31"/>
  <c r="AB437" i="31" s="1"/>
  <c r="AB54" i="31"/>
  <c r="AH155" i="31"/>
  <c r="AH156" i="31" s="1"/>
  <c r="AH149" i="31"/>
  <c r="AH150" i="31" s="1"/>
  <c r="AH144" i="31"/>
  <c r="AI143" i="31"/>
  <c r="AA439" i="31"/>
  <c r="AB439" i="31" s="1"/>
  <c r="AB108" i="31"/>
  <c r="AE122" i="31"/>
  <c r="AE123" i="31" s="1"/>
  <c r="AE117" i="31"/>
  <c r="AE131" i="31" s="1"/>
  <c r="AF116" i="31"/>
  <c r="AE128" i="31"/>
  <c r="AE129" i="31" s="1"/>
  <c r="AC8" i="31"/>
  <c r="AB14" i="31"/>
  <c r="AB20" i="31"/>
  <c r="Z378" i="31"/>
  <c r="AF278" i="31"/>
  <c r="AE290" i="31"/>
  <c r="AE291" i="31" s="1"/>
  <c r="AE279" i="31"/>
  <c r="AE284" i="31"/>
  <c r="AE285" i="31" s="1"/>
  <c r="AA212" i="31"/>
  <c r="AB198" i="31"/>
  <c r="AC209" i="31"/>
  <c r="AC210" i="31" s="1"/>
  <c r="AC203" i="31"/>
  <c r="AC204" i="31" s="1"/>
  <c r="AD197" i="31"/>
  <c r="AC198" i="31"/>
  <c r="AE12" i="7"/>
  <c r="AE39" i="7" s="1"/>
  <c r="AE4" i="11" s="1"/>
  <c r="AA374" i="31"/>
  <c r="AA378" i="31" s="1"/>
  <c r="AA449" i="31" s="1"/>
  <c r="AB360" i="31"/>
  <c r="AA432" i="31"/>
  <c r="AB428" i="31"/>
  <c r="AF332" i="31"/>
  <c r="AE344" i="31"/>
  <c r="AE345" i="31" s="1"/>
  <c r="AE333" i="31"/>
  <c r="AE338" i="31"/>
  <c r="AE339" i="31" s="1"/>
  <c r="AG158" i="31"/>
  <c r="AE224" i="31"/>
  <c r="AD236" i="31"/>
  <c r="AD237" i="31" s="1"/>
  <c r="AD230" i="31"/>
  <c r="AD231" i="31" s="1"/>
  <c r="AD225" i="31"/>
  <c r="AD239" i="31" s="1"/>
  <c r="AK23" i="5"/>
  <c r="AK27" i="5" s="1"/>
  <c r="AK436" i="5" s="1"/>
  <c r="AD131" i="31"/>
  <c r="AC428" i="31"/>
  <c r="AC295" i="31"/>
  <c r="AC297" i="31" s="1"/>
  <c r="AC446" i="31" s="1"/>
  <c r="AC187" i="31"/>
  <c r="AC430" i="31"/>
  <c r="AC160" i="31"/>
  <c r="AC162" i="31" s="1"/>
  <c r="AC441" i="31" s="1"/>
  <c r="AC349" i="31"/>
  <c r="AC351" i="31" s="1"/>
  <c r="AC448" i="31" s="1"/>
  <c r="AC133" i="31"/>
  <c r="AC135" i="31" s="1"/>
  <c r="AC440" i="31" s="1"/>
  <c r="AC268" i="31"/>
  <c r="AC270" i="31" s="1"/>
  <c r="AC445" i="31" s="1"/>
  <c r="AC79" i="31"/>
  <c r="AC81" i="31" s="1"/>
  <c r="AC438" i="31" s="1"/>
  <c r="AC322" i="31"/>
  <c r="AC324" i="31" s="1"/>
  <c r="AC447" i="31" s="1"/>
  <c r="AC52" i="31"/>
  <c r="AC54" i="31" s="1"/>
  <c r="AC437" i="31" s="1"/>
  <c r="AD25" i="31"/>
  <c r="AC403" i="31"/>
  <c r="AC405" i="31" s="1"/>
  <c r="AC450" i="31" s="1"/>
  <c r="AC376" i="31"/>
  <c r="AC106" i="31"/>
  <c r="AC108" i="31" s="1"/>
  <c r="AC439" i="31" s="1"/>
  <c r="AC241" i="31"/>
  <c r="AC214" i="31"/>
  <c r="AH44" i="1"/>
  <c r="AH111" i="1"/>
  <c r="AH108" i="1"/>
  <c r="D46" i="33"/>
  <c r="D44" i="33" s="1"/>
  <c r="AH50" i="1"/>
  <c r="AH133" i="1"/>
  <c r="AH122" i="1"/>
  <c r="AH47" i="1"/>
  <c r="AH466" i="5"/>
  <c r="AH77" i="1"/>
  <c r="AJ196" i="1"/>
  <c r="AG196" i="1"/>
  <c r="AG206" i="1" s="1"/>
  <c r="AG42" i="7" s="1"/>
  <c r="AI3" i="7"/>
  <c r="E46" i="33" s="1"/>
  <c r="E44" i="33" s="1"/>
  <c r="AI466" i="5"/>
  <c r="E4" i="30"/>
  <c r="AH174" i="1"/>
  <c r="DZ3" i="7"/>
  <c r="DZ50" i="7" s="1"/>
  <c r="AJ239" i="5"/>
  <c r="AJ243" i="5" s="1"/>
  <c r="AJ444" i="5" s="1"/>
  <c r="AJ463" i="5"/>
  <c r="AJ465" i="5" s="1"/>
  <c r="AJ8" i="7" s="1"/>
  <c r="DI8" i="7" s="1"/>
  <c r="EB8" i="7" s="1"/>
  <c r="AE41" i="1"/>
  <c r="AE133" i="1"/>
  <c r="AE111" i="1"/>
  <c r="AE174" i="1"/>
  <c r="AE182" i="1" s="1"/>
  <c r="AE122" i="1"/>
  <c r="AE114" i="1"/>
  <c r="AE94" i="1"/>
  <c r="AE38" i="1"/>
  <c r="AE50" i="1"/>
  <c r="AE130" i="1"/>
  <c r="AE125" i="1"/>
  <c r="AE47" i="1"/>
  <c r="AE44" i="1"/>
  <c r="AE108" i="1"/>
  <c r="AE77" i="1"/>
  <c r="AH6" i="7"/>
  <c r="AH458" i="5"/>
  <c r="AK236" i="5"/>
  <c r="AK237" i="5" s="1"/>
  <c r="AK230" i="5"/>
  <c r="AK231" i="5" s="1"/>
  <c r="AL224" i="5"/>
  <c r="AK225" i="5"/>
  <c r="AK239" i="5" s="1"/>
  <c r="AK243" i="5" s="1"/>
  <c r="AK444" i="5" s="1"/>
  <c r="AI76" i="1"/>
  <c r="AD40" i="7"/>
  <c r="AK63" i="1"/>
  <c r="AJ65" i="1"/>
  <c r="AJ70" i="1"/>
  <c r="AJ72" i="1" s="1"/>
  <c r="AI89" i="1"/>
  <c r="AH93" i="1"/>
  <c r="AI196" i="1"/>
  <c r="AK196" i="1"/>
  <c r="AH196" i="1"/>
  <c r="AH28" i="1"/>
  <c r="AH32" i="1" s="1"/>
  <c r="AH20" i="7" s="1"/>
  <c r="DG20" i="7" s="1"/>
  <c r="DZ20" i="7" s="1"/>
  <c r="AH16" i="7"/>
  <c r="AF3" i="7"/>
  <c r="AF174" i="1" s="1"/>
  <c r="AF466" i="5"/>
  <c r="AE40" i="7"/>
  <c r="AI6" i="7"/>
  <c r="AI10" i="7" s="1"/>
  <c r="AI12" i="7" s="1"/>
  <c r="AE19" i="16"/>
  <c r="AF7" i="11" s="1"/>
  <c r="AL142" i="1"/>
  <c r="AL144" i="1" s="1"/>
  <c r="AM317" i="5"/>
  <c r="AL318" i="5"/>
  <c r="AL320" i="5" s="1"/>
  <c r="AF41" i="1"/>
  <c r="AF44" i="1"/>
  <c r="AF111" i="1"/>
  <c r="AF122" i="1"/>
  <c r="AF47" i="1"/>
  <c r="AF50" i="1"/>
  <c r="AF133" i="1"/>
  <c r="AF114" i="1"/>
  <c r="AF94" i="1"/>
  <c r="AF77" i="1"/>
  <c r="AD179" i="1"/>
  <c r="AD19" i="16" s="1"/>
  <c r="AF38" i="1"/>
  <c r="AF196" i="1"/>
  <c r="AH189" i="1"/>
  <c r="AH190" i="1" s="1"/>
  <c r="AH14" i="11" s="1"/>
  <c r="AH37" i="1"/>
  <c r="AI35" i="1"/>
  <c r="AI10" i="1"/>
  <c r="AJ8" i="1"/>
  <c r="AK54" i="5"/>
  <c r="AK437" i="5" s="1"/>
  <c r="AK77" i="5"/>
  <c r="AM41" i="5"/>
  <c r="AM42" i="5" s="1"/>
  <c r="AM47" i="5"/>
  <c r="AM48" i="5" s="1"/>
  <c r="AM36" i="5"/>
  <c r="AN35" i="5"/>
  <c r="AI458" i="5"/>
  <c r="AJ456" i="5"/>
  <c r="AJ457" i="5" s="1"/>
  <c r="AL74" i="5"/>
  <c r="AL75" i="5" s="1"/>
  <c r="AM62" i="5"/>
  <c r="AL68" i="5"/>
  <c r="AL69" i="5" s="1"/>
  <c r="AL63" i="5"/>
  <c r="AG466" i="5"/>
  <c r="AG458" i="5"/>
  <c r="AL50" i="5"/>
  <c r="AJ452" i="5"/>
  <c r="AJ3" i="7" s="1"/>
  <c r="F46" i="33" s="1"/>
  <c r="F44" i="33" s="1"/>
  <c r="AF333" i="31" l="1"/>
  <c r="AF347" i="31" s="1"/>
  <c r="AG332" i="31"/>
  <c r="AF344" i="31"/>
  <c r="AF345" i="31" s="1"/>
  <c r="AF338" i="31"/>
  <c r="AF339" i="31" s="1"/>
  <c r="AA444" i="31"/>
  <c r="AB243" i="31"/>
  <c r="AB444" i="31" s="1"/>
  <c r="AA442" i="31"/>
  <c r="AB189" i="31"/>
  <c r="AB442" i="31" s="1"/>
  <c r="AG392" i="31"/>
  <c r="AG393" i="31" s="1"/>
  <c r="AH386" i="31"/>
  <c r="AG398" i="31"/>
  <c r="AG399" i="31" s="1"/>
  <c r="AG387" i="31"/>
  <c r="AG401" i="31" s="1"/>
  <c r="AC432" i="31"/>
  <c r="AC451" i="31" s="1"/>
  <c r="Z449" i="31"/>
  <c r="AB378" i="31"/>
  <c r="AB449" i="31" s="1"/>
  <c r="AE182" i="31"/>
  <c r="AE183" i="31" s="1"/>
  <c r="AE171" i="31"/>
  <c r="AF170" i="31"/>
  <c r="AE176" i="31"/>
  <c r="AE177" i="31" s="1"/>
  <c r="Z452" i="31"/>
  <c r="AD50" i="31"/>
  <c r="AL322" i="5"/>
  <c r="AL430" i="5"/>
  <c r="AL432" i="5" s="1"/>
  <c r="AL451" i="5" s="1"/>
  <c r="AL133" i="5"/>
  <c r="AL135" i="5" s="1"/>
  <c r="AL440" i="5" s="1"/>
  <c r="AL187" i="5"/>
  <c r="AL189" i="5" s="1"/>
  <c r="AL442" i="5" s="1"/>
  <c r="AL376" i="5"/>
  <c r="AL378" i="5" s="1"/>
  <c r="AL449" i="5" s="1"/>
  <c r="AM25" i="5"/>
  <c r="AL295" i="5"/>
  <c r="AL297" i="5" s="1"/>
  <c r="AL446" i="5" s="1"/>
  <c r="AL160" i="5"/>
  <c r="AL162" i="5" s="1"/>
  <c r="AL441" i="5" s="1"/>
  <c r="AL79" i="5"/>
  <c r="AL403" i="5"/>
  <c r="AL405" i="5" s="1"/>
  <c r="AL450" i="5" s="1"/>
  <c r="AL214" i="5"/>
  <c r="AL216" i="5" s="1"/>
  <c r="AL443" i="5" s="1"/>
  <c r="AL52" i="5"/>
  <c r="AL241" i="5"/>
  <c r="AL106" i="5"/>
  <c r="AL108" i="5" s="1"/>
  <c r="AL439" i="5" s="1"/>
  <c r="AL349" i="5"/>
  <c r="AL351" i="5" s="1"/>
  <c r="AL448" i="5" s="1"/>
  <c r="AL268" i="5"/>
  <c r="AL270" i="5" s="1"/>
  <c r="AL445" i="5" s="1"/>
  <c r="AG3" i="7"/>
  <c r="AF108" i="1"/>
  <c r="AF130" i="1"/>
  <c r="AF125" i="1"/>
  <c r="AE347" i="31"/>
  <c r="AA451" i="31"/>
  <c r="AB432" i="31"/>
  <c r="AB451" i="31" s="1"/>
  <c r="AC212" i="31"/>
  <c r="AC216" i="31" s="1"/>
  <c r="AC443" i="31" s="1"/>
  <c r="AD8" i="31"/>
  <c r="AC9" i="31"/>
  <c r="AC20" i="31"/>
  <c r="AC21" i="31" s="1"/>
  <c r="AC14" i="31"/>
  <c r="AC15" i="31" s="1"/>
  <c r="AH158" i="31"/>
  <c r="AD371" i="31"/>
  <c r="AD372" i="31" s="1"/>
  <c r="AE359" i="31"/>
  <c r="AD365" i="31"/>
  <c r="AD366" i="31" s="1"/>
  <c r="AD360" i="31"/>
  <c r="AD266" i="31"/>
  <c r="AG89" i="31"/>
  <c r="AF90" i="31"/>
  <c r="AF101" i="31"/>
  <c r="AF102" i="31" s="1"/>
  <c r="AF95" i="31"/>
  <c r="AF96" i="31" s="1"/>
  <c r="AF401" i="31"/>
  <c r="AA27" i="31"/>
  <c r="AA456" i="31"/>
  <c r="AA457" i="31" s="1"/>
  <c r="AB23" i="31"/>
  <c r="AF413" i="31"/>
  <c r="AE419" i="31"/>
  <c r="AE420" i="31" s="1"/>
  <c r="AE425" i="31"/>
  <c r="AE426" i="31" s="1"/>
  <c r="AE414" i="31"/>
  <c r="AL23" i="5"/>
  <c r="AL27" i="5" s="1"/>
  <c r="AL436" i="5" s="1"/>
  <c r="AO69" i="1"/>
  <c r="AD376" i="31"/>
  <c r="AD106" i="31"/>
  <c r="AD108" i="31" s="1"/>
  <c r="AD439" i="31" s="1"/>
  <c r="AD349" i="31"/>
  <c r="AD351" i="31" s="1"/>
  <c r="AD448" i="31" s="1"/>
  <c r="AD187" i="31"/>
  <c r="AD189" i="31" s="1"/>
  <c r="AD442" i="31" s="1"/>
  <c r="AD268" i="31"/>
  <c r="AD52" i="31"/>
  <c r="AD241" i="31"/>
  <c r="AD243" i="31" s="1"/>
  <c r="AD444" i="31" s="1"/>
  <c r="AE25" i="31"/>
  <c r="AD322" i="31"/>
  <c r="AD324" i="31" s="1"/>
  <c r="AD447" i="31" s="1"/>
  <c r="AD79" i="31"/>
  <c r="AD81" i="31" s="1"/>
  <c r="AD438" i="31" s="1"/>
  <c r="AD430" i="31"/>
  <c r="AD214" i="31"/>
  <c r="AD403" i="31"/>
  <c r="AD405" i="31" s="1"/>
  <c r="AD450" i="31" s="1"/>
  <c r="AD160" i="31"/>
  <c r="AD162" i="31" s="1"/>
  <c r="AD441" i="31" s="1"/>
  <c r="AD133" i="31"/>
  <c r="AD135" i="31" s="1"/>
  <c r="AD440" i="31" s="1"/>
  <c r="AD295" i="31"/>
  <c r="AB374" i="31"/>
  <c r="AF117" i="31"/>
  <c r="AF122" i="31"/>
  <c r="AF123" i="31" s="1"/>
  <c r="AG116" i="31"/>
  <c r="AF128" i="31"/>
  <c r="AF129" i="31" s="1"/>
  <c r="AD432" i="31"/>
  <c r="AD451" i="31" s="1"/>
  <c r="AC243" i="31"/>
  <c r="AC444" i="31" s="1"/>
  <c r="AE293" i="31"/>
  <c r="AJ143" i="31"/>
  <c r="AI155" i="31"/>
  <c r="AI156" i="31" s="1"/>
  <c r="AI149" i="31"/>
  <c r="AI150" i="31" s="1"/>
  <c r="AI144" i="31"/>
  <c r="AI158" i="31" s="1"/>
  <c r="AK81" i="5"/>
  <c r="AK438" i="5" s="1"/>
  <c r="AK452" i="5" s="1"/>
  <c r="AK466" i="5" s="1"/>
  <c r="AL324" i="5"/>
  <c r="AL447" i="5" s="1"/>
  <c r="AE13" i="7"/>
  <c r="AE230" i="31"/>
  <c r="AE231" i="31" s="1"/>
  <c r="AE236" i="31"/>
  <c r="AE237" i="31" s="1"/>
  <c r="AE225" i="31"/>
  <c r="AF224" i="31"/>
  <c r="AD209" i="31"/>
  <c r="AD210" i="31" s="1"/>
  <c r="AD198" i="31"/>
  <c r="AD212" i="31" s="1"/>
  <c r="AD216" i="31" s="1"/>
  <c r="AD443" i="31" s="1"/>
  <c r="AD203" i="31"/>
  <c r="AD204" i="31" s="1"/>
  <c r="AE197" i="31"/>
  <c r="AA216" i="31"/>
  <c r="AB212" i="31"/>
  <c r="AF284" i="31"/>
  <c r="AF285" i="31" s="1"/>
  <c r="AF279" i="31"/>
  <c r="AG278" i="31"/>
  <c r="AF290" i="31"/>
  <c r="AF291" i="31" s="1"/>
  <c r="AA445" i="31"/>
  <c r="AB270" i="31"/>
  <c r="AB445" i="31" s="1"/>
  <c r="AC374" i="31"/>
  <c r="AC378" i="31" s="1"/>
  <c r="AC449" i="31" s="1"/>
  <c r="AF251" i="31"/>
  <c r="AE263" i="31"/>
  <c r="AE264" i="31" s="1"/>
  <c r="AE252" i="31"/>
  <c r="AE257" i="31"/>
  <c r="AE258" i="31" s="1"/>
  <c r="AE266" i="31" s="1"/>
  <c r="AD297" i="31"/>
  <c r="AD446" i="31" s="1"/>
  <c r="AN263" i="5"/>
  <c r="AN264" i="5" s="1"/>
  <c r="AN252" i="5"/>
  <c r="AO251" i="5"/>
  <c r="AN257" i="5"/>
  <c r="AN258" i="5" s="1"/>
  <c r="AF35" i="31"/>
  <c r="AE36" i="31"/>
  <c r="AE47" i="31"/>
  <c r="AE48" i="31" s="1"/>
  <c r="AE41" i="31"/>
  <c r="AE42" i="31" s="1"/>
  <c r="AM20" i="5"/>
  <c r="AM21" i="5" s="1"/>
  <c r="AN8" i="5"/>
  <c r="AM9" i="5"/>
  <c r="AM14" i="5"/>
  <c r="AM15" i="5" s="1"/>
  <c r="AG12" i="7"/>
  <c r="C46" i="33"/>
  <c r="C44" i="33" s="1"/>
  <c r="AA196" i="1"/>
  <c r="X196" i="1"/>
  <c r="X206" i="1" s="1"/>
  <c r="X42" i="7" s="1"/>
  <c r="W196" i="1"/>
  <c r="W206" i="1" s="1"/>
  <c r="W42" i="7" s="1"/>
  <c r="AE196" i="1"/>
  <c r="AB196" i="1"/>
  <c r="U196" i="1"/>
  <c r="U206" i="1" s="1"/>
  <c r="U42" i="7" s="1"/>
  <c r="Y196" i="1"/>
  <c r="AC196" i="1"/>
  <c r="AC206" i="1" s="1"/>
  <c r="AC42" i="7" s="1"/>
  <c r="AC45" i="7" s="1"/>
  <c r="V196" i="1"/>
  <c r="Z196" i="1"/>
  <c r="Z206" i="1" s="1"/>
  <c r="Z42" i="7" s="1"/>
  <c r="AD196" i="1"/>
  <c r="AD206" i="1" s="1"/>
  <c r="AD42" i="7" s="1"/>
  <c r="AL236" i="5"/>
  <c r="AL237" i="5" s="1"/>
  <c r="AL230" i="5"/>
  <c r="AL231" i="5" s="1"/>
  <c r="AL225" i="5"/>
  <c r="AM224" i="5"/>
  <c r="AH182" i="1"/>
  <c r="AH183" i="1" s="1"/>
  <c r="AH8" i="16" s="1"/>
  <c r="AH175" i="1"/>
  <c r="AH7" i="16" s="1"/>
  <c r="AL463" i="5"/>
  <c r="AL465" i="5" s="1"/>
  <c r="AL8" i="7" s="1"/>
  <c r="AH10" i="7"/>
  <c r="AH12" i="7" s="1"/>
  <c r="DZ6" i="7"/>
  <c r="DZ10" i="7" s="1"/>
  <c r="AK463" i="5"/>
  <c r="AK465" i="5" s="1"/>
  <c r="AK8" i="7" s="1"/>
  <c r="AI174" i="1"/>
  <c r="AI133" i="1"/>
  <c r="AI44" i="1"/>
  <c r="AI50" i="1"/>
  <c r="AI111" i="1"/>
  <c r="AI114" i="1"/>
  <c r="EA3" i="7"/>
  <c r="EA50" i="7" s="1"/>
  <c r="AI125" i="1"/>
  <c r="AI122" i="1"/>
  <c r="AI47" i="1"/>
  <c r="AI41" i="1"/>
  <c r="AI130" i="1"/>
  <c r="AI108" i="1"/>
  <c r="F4" i="30"/>
  <c r="F5" i="30" s="1"/>
  <c r="AJ76" i="1"/>
  <c r="AJ26" i="7" s="1"/>
  <c r="DI26" i="7" s="1"/>
  <c r="AL63" i="1"/>
  <c r="AK65" i="1"/>
  <c r="AK70" i="1"/>
  <c r="AK72" i="1" s="1"/>
  <c r="AI26" i="7"/>
  <c r="AI77" i="1"/>
  <c r="AH27" i="7"/>
  <c r="AH94" i="1"/>
  <c r="AJ89" i="1"/>
  <c r="AI93" i="1"/>
  <c r="AI28" i="1"/>
  <c r="AI32" i="1" s="1"/>
  <c r="AI20" i="7" s="1"/>
  <c r="DH20" i="7" s="1"/>
  <c r="EA20" i="7" s="1"/>
  <c r="AI16" i="7"/>
  <c r="AH38" i="1"/>
  <c r="AH21" i="7"/>
  <c r="AA206" i="1"/>
  <c r="AA42" i="7" s="1"/>
  <c r="AE206" i="1"/>
  <c r="AE42" i="7" s="1"/>
  <c r="AB206" i="1"/>
  <c r="AB42" i="7" s="1"/>
  <c r="AF206" i="1"/>
  <c r="AF42" i="7" s="1"/>
  <c r="AF5" i="12" s="1"/>
  <c r="Y206" i="1"/>
  <c r="Y42" i="7" s="1"/>
  <c r="V206" i="1"/>
  <c r="V42" i="7" s="1"/>
  <c r="DG16" i="7"/>
  <c r="AJ6" i="7"/>
  <c r="AJ10" i="7" s="1"/>
  <c r="AJ12" i="7" s="1"/>
  <c r="AJ13" i="7" s="1"/>
  <c r="AI13" i="7"/>
  <c r="AF12" i="7"/>
  <c r="AF39" i="7" s="1"/>
  <c r="AF4" i="11" s="1"/>
  <c r="AF37" i="7"/>
  <c r="AE7" i="11"/>
  <c r="AM142" i="1"/>
  <c r="AM144" i="1" s="1"/>
  <c r="AM318" i="5"/>
  <c r="AM320" i="5" s="1"/>
  <c r="AN317" i="5"/>
  <c r="AG125" i="1"/>
  <c r="AG122" i="1"/>
  <c r="AG41" i="1"/>
  <c r="AG44" i="1"/>
  <c r="AG111" i="1"/>
  <c r="AG130" i="1"/>
  <c r="AG47" i="1"/>
  <c r="AG50" i="1"/>
  <c r="AG114" i="1"/>
  <c r="AG133" i="1"/>
  <c r="AG77" i="1"/>
  <c r="AG108" i="1"/>
  <c r="AG94" i="1"/>
  <c r="AC179" i="1"/>
  <c r="AC19" i="16" s="1"/>
  <c r="AD7" i="11" s="1"/>
  <c r="AG38" i="1"/>
  <c r="AF182" i="1"/>
  <c r="AG174" i="1"/>
  <c r="AJ35" i="1"/>
  <c r="AK8" i="1"/>
  <c r="AJ10" i="1"/>
  <c r="AI189" i="1"/>
  <c r="AI190" i="1" s="1"/>
  <c r="AI14" i="11" s="1"/>
  <c r="AI37" i="1"/>
  <c r="AI197" i="1"/>
  <c r="AH197" i="1"/>
  <c r="AJ197" i="1"/>
  <c r="AL197" i="1"/>
  <c r="AK197" i="1"/>
  <c r="AJ466" i="5"/>
  <c r="AL54" i="5"/>
  <c r="AL437" i="5" s="1"/>
  <c r="AL77" i="5"/>
  <c r="AL81" i="5" s="1"/>
  <c r="AL438" i="5" s="1"/>
  <c r="AM68" i="5"/>
  <c r="AM69" i="5" s="1"/>
  <c r="AN62" i="5"/>
  <c r="AM74" i="5"/>
  <c r="AM75" i="5" s="1"/>
  <c r="AM63" i="5"/>
  <c r="AG13" i="7"/>
  <c r="AG39" i="7"/>
  <c r="AM50" i="5"/>
  <c r="D4" i="30"/>
  <c r="E5" i="30" s="1"/>
  <c r="AG37" i="7"/>
  <c r="AC19" i="25"/>
  <c r="AK456" i="5"/>
  <c r="AK457" i="5" s="1"/>
  <c r="AJ458" i="5"/>
  <c r="EA6" i="7"/>
  <c r="EA10" i="7" s="1"/>
  <c r="AN41" i="5"/>
  <c r="AN42" i="5" s="1"/>
  <c r="AN47" i="5"/>
  <c r="AN48" i="5" s="1"/>
  <c r="AN36" i="5"/>
  <c r="AO35" i="5"/>
  <c r="AG5" i="12"/>
  <c r="AO8" i="5" l="1"/>
  <c r="AN9" i="5"/>
  <c r="AN23" i="5" s="1"/>
  <c r="AN27" i="5" s="1"/>
  <c r="AN436" i="5" s="1"/>
  <c r="AN20" i="5"/>
  <c r="AN21" i="5" s="1"/>
  <c r="AN14" i="5"/>
  <c r="AN15" i="5" s="1"/>
  <c r="AF263" i="31"/>
  <c r="AF264" i="31" s="1"/>
  <c r="AG251" i="31"/>
  <c r="AF257" i="31"/>
  <c r="AF258" i="31" s="1"/>
  <c r="AF252" i="31"/>
  <c r="AJ149" i="31"/>
  <c r="AJ150" i="31" s="1"/>
  <c r="AJ144" i="31"/>
  <c r="AJ158" i="31" s="1"/>
  <c r="AJ155" i="31"/>
  <c r="AJ156" i="31" s="1"/>
  <c r="AE430" i="31"/>
  <c r="AE241" i="31"/>
  <c r="AE403" i="31"/>
  <c r="AE405" i="31" s="1"/>
  <c r="AE450" i="31" s="1"/>
  <c r="AE187" i="31"/>
  <c r="AE376" i="31"/>
  <c r="AE79" i="31"/>
  <c r="AE81" i="31" s="1"/>
  <c r="AE438" i="31" s="1"/>
  <c r="AE322" i="31"/>
  <c r="AE324" i="31" s="1"/>
  <c r="AE447" i="31" s="1"/>
  <c r="AE160" i="31"/>
  <c r="AE162" i="31" s="1"/>
  <c r="AE441" i="31" s="1"/>
  <c r="AE295" i="31"/>
  <c r="AE106" i="31"/>
  <c r="AE108" i="31" s="1"/>
  <c r="AE439" i="31" s="1"/>
  <c r="AE349" i="31"/>
  <c r="AE351" i="31" s="1"/>
  <c r="AE448" i="31" s="1"/>
  <c r="AE214" i="31"/>
  <c r="AE52" i="31"/>
  <c r="AE268" i="31"/>
  <c r="AE270" i="31" s="1"/>
  <c r="AE445" i="31" s="1"/>
  <c r="AF25" i="31"/>
  <c r="AE133" i="31"/>
  <c r="AE135" i="31" s="1"/>
  <c r="AE440" i="31" s="1"/>
  <c r="AO263" i="5"/>
  <c r="AO264" i="5" s="1"/>
  <c r="AO252" i="5"/>
  <c r="AO266" i="5" s="1"/>
  <c r="AO257" i="5"/>
  <c r="AO258" i="5" s="1"/>
  <c r="AA443" i="31"/>
  <c r="AB216" i="31"/>
  <c r="AB443" i="31" s="1"/>
  <c r="AF131" i="31"/>
  <c r="AA436" i="31"/>
  <c r="AB27" i="31"/>
  <c r="AD374" i="31"/>
  <c r="AD378" i="31" s="1"/>
  <c r="AD449" i="31" s="1"/>
  <c r="AM324" i="5"/>
  <c r="AM447" i="5" s="1"/>
  <c r="AL239" i="5"/>
  <c r="AL243" i="5" s="1"/>
  <c r="AL444" i="5" s="1"/>
  <c r="AL452" i="5" s="1"/>
  <c r="AE50" i="31"/>
  <c r="AE54" i="31" s="1"/>
  <c r="AE437" i="31" s="1"/>
  <c r="AN266" i="5"/>
  <c r="AF293" i="31"/>
  <c r="AF197" i="31"/>
  <c r="AE203" i="31"/>
  <c r="AE204" i="31" s="1"/>
  <c r="AE209" i="31"/>
  <c r="AE210" i="31" s="1"/>
  <c r="AE198" i="31"/>
  <c r="AE212" i="31" s="1"/>
  <c r="AE216" i="31" s="1"/>
  <c r="AE443" i="31" s="1"/>
  <c r="AF236" i="31"/>
  <c r="AF237" i="31" s="1"/>
  <c r="AF230" i="31"/>
  <c r="AF231" i="31" s="1"/>
  <c r="AG224" i="31"/>
  <c r="AF225" i="31"/>
  <c r="AE297" i="31"/>
  <c r="AE446" i="31" s="1"/>
  <c r="AG413" i="31"/>
  <c r="AF414" i="31"/>
  <c r="AF419" i="31"/>
  <c r="AF420" i="31" s="1"/>
  <c r="AF425" i="31"/>
  <c r="AF426" i="31" s="1"/>
  <c r="AF104" i="31"/>
  <c r="AF182" i="31"/>
  <c r="AF183" i="31" s="1"/>
  <c r="AF176" i="31"/>
  <c r="AF177" i="31" s="1"/>
  <c r="AG170" i="31"/>
  <c r="AF171" i="31"/>
  <c r="AI386" i="31"/>
  <c r="AH387" i="31"/>
  <c r="AH401" i="31" s="1"/>
  <c r="AH398" i="31"/>
  <c r="AH399" i="31" s="1"/>
  <c r="AH392" i="31"/>
  <c r="AH393" i="31" s="1"/>
  <c r="AC23" i="31"/>
  <c r="AC463" i="31"/>
  <c r="AC465" i="31" s="1"/>
  <c r="AG279" i="31"/>
  <c r="AG284" i="31"/>
  <c r="AG285" i="31" s="1"/>
  <c r="AH278" i="31"/>
  <c r="AG290" i="31"/>
  <c r="AG291" i="31" s="1"/>
  <c r="AD20" i="31"/>
  <c r="AD21" i="31" s="1"/>
  <c r="AE8" i="31"/>
  <c r="AD14" i="31"/>
  <c r="AD15" i="31" s="1"/>
  <c r="AD9" i="31"/>
  <c r="AM52" i="5"/>
  <c r="AM241" i="5"/>
  <c r="AN25" i="5"/>
  <c r="AM79" i="5"/>
  <c r="AM187" i="5"/>
  <c r="AM189" i="5" s="1"/>
  <c r="AM442" i="5" s="1"/>
  <c r="AM295" i="5"/>
  <c r="AM297" i="5" s="1"/>
  <c r="AM446" i="5" s="1"/>
  <c r="AM376" i="5"/>
  <c r="AM378" i="5" s="1"/>
  <c r="AM449" i="5" s="1"/>
  <c r="AM349" i="5"/>
  <c r="AM351" i="5" s="1"/>
  <c r="AM448" i="5" s="1"/>
  <c r="AM430" i="5"/>
  <c r="AM432" i="5" s="1"/>
  <c r="AM451" i="5" s="1"/>
  <c r="AM268" i="5"/>
  <c r="AM270" i="5" s="1"/>
  <c r="AM445" i="5" s="1"/>
  <c r="AM403" i="5"/>
  <c r="AM405" i="5" s="1"/>
  <c r="AM450" i="5" s="1"/>
  <c r="AM106" i="5"/>
  <c r="AM108" i="5" s="1"/>
  <c r="AM439" i="5" s="1"/>
  <c r="AM214" i="5"/>
  <c r="AM216" i="5" s="1"/>
  <c r="AM443" i="5" s="1"/>
  <c r="AM133" i="5"/>
  <c r="AM135" i="5" s="1"/>
  <c r="AM440" i="5" s="1"/>
  <c r="AM322" i="5"/>
  <c r="AM160" i="5"/>
  <c r="AM162" i="5" s="1"/>
  <c r="AM441" i="5" s="1"/>
  <c r="AM23" i="5"/>
  <c r="AM27" i="5" s="1"/>
  <c r="AM436" i="5" s="1"/>
  <c r="AG35" i="31"/>
  <c r="AF47" i="31"/>
  <c r="AF48" i="31" s="1"/>
  <c r="AF41" i="31"/>
  <c r="AF42" i="31" s="1"/>
  <c r="AF36" i="31"/>
  <c r="AF50" i="31" s="1"/>
  <c r="AE239" i="31"/>
  <c r="AE243" i="31" s="1"/>
  <c r="AE444" i="31" s="1"/>
  <c r="AG122" i="31"/>
  <c r="AG123" i="31" s="1"/>
  <c r="AG117" i="31"/>
  <c r="AG128" i="31"/>
  <c r="AG129" i="31" s="1"/>
  <c r="AH116" i="31"/>
  <c r="AD270" i="31"/>
  <c r="AD445" i="31" s="1"/>
  <c r="AE428" i="31"/>
  <c r="AE432" i="31" s="1"/>
  <c r="AE451" i="31" s="1"/>
  <c r="AB456" i="31"/>
  <c r="AB457" i="31" s="1"/>
  <c r="AG95" i="31"/>
  <c r="AG96" i="31" s="1"/>
  <c r="AH89" i="31"/>
  <c r="AG101" i="31"/>
  <c r="AG102" i="31" s="1"/>
  <c r="AG90" i="31"/>
  <c r="AE360" i="31"/>
  <c r="AE374" i="31" s="1"/>
  <c r="AE378" i="31" s="1"/>
  <c r="AE449" i="31" s="1"/>
  <c r="AF359" i="31"/>
  <c r="AE365" i="31"/>
  <c r="AE366" i="31" s="1"/>
  <c r="AE371" i="31"/>
  <c r="AE372" i="31" s="1"/>
  <c r="AD54" i="31"/>
  <c r="AD437" i="31" s="1"/>
  <c r="AE185" i="31"/>
  <c r="AE189" i="31" s="1"/>
  <c r="AE442" i="31" s="1"/>
  <c r="AG338" i="31"/>
  <c r="AG339" i="31" s="1"/>
  <c r="AG333" i="31"/>
  <c r="AG347" i="31" s="1"/>
  <c r="AH332" i="31"/>
  <c r="AG344" i="31"/>
  <c r="AG345" i="31" s="1"/>
  <c r="AG40" i="7"/>
  <c r="C47" i="33"/>
  <c r="C45" i="33" s="1"/>
  <c r="DG27" i="7"/>
  <c r="DZ27" i="7" s="1"/>
  <c r="AH178" i="1"/>
  <c r="AH179" i="1" s="1"/>
  <c r="AH19" i="16" s="1"/>
  <c r="DH26" i="7"/>
  <c r="EA26" i="7" s="1"/>
  <c r="AF13" i="7"/>
  <c r="AN224" i="5"/>
  <c r="AM225" i="5"/>
  <c r="AM230" i="5"/>
  <c r="AM231" i="5" s="1"/>
  <c r="AM236" i="5"/>
  <c r="AM237" i="5" s="1"/>
  <c r="AJ93" i="1"/>
  <c r="AJ27" i="7" s="1"/>
  <c r="DI27" i="7" s="1"/>
  <c r="EB27" i="7" s="1"/>
  <c r="AK89" i="1"/>
  <c r="AL89" i="1" s="1"/>
  <c r="AM89" i="1" s="1"/>
  <c r="AN89" i="1" s="1"/>
  <c r="AO89" i="1" s="1"/>
  <c r="AI175" i="1"/>
  <c r="AI7" i="16" s="1"/>
  <c r="AI5" i="11" s="1"/>
  <c r="AI182" i="1"/>
  <c r="AI183" i="1" s="1"/>
  <c r="AI8" i="16" s="1"/>
  <c r="AI6" i="11" s="1"/>
  <c r="DZ12" i="7"/>
  <c r="AH13" i="7"/>
  <c r="DZ13" i="7" s="1"/>
  <c r="AH36" i="7"/>
  <c r="AH39" i="7" s="1"/>
  <c r="D47" i="33" s="1"/>
  <c r="D45" i="33" s="1"/>
  <c r="AK76" i="1"/>
  <c r="AK26" i="7" s="1"/>
  <c r="AK178" i="1" s="1"/>
  <c r="AK179" i="1" s="1"/>
  <c r="AK19" i="16" s="1"/>
  <c r="AL65" i="1"/>
  <c r="AM63" i="1"/>
  <c r="AL70" i="1"/>
  <c r="AL72" i="1" s="1"/>
  <c r="AI27" i="7"/>
  <c r="DH27" i="7" s="1"/>
  <c r="EA27" i="7" s="1"/>
  <c r="AI94" i="1"/>
  <c r="AF40" i="7"/>
  <c r="V5" i="12"/>
  <c r="V45" i="7"/>
  <c r="Y5" i="12"/>
  <c r="Y45" i="7"/>
  <c r="AE45" i="7"/>
  <c r="AE5" i="12"/>
  <c r="Z5" i="12"/>
  <c r="Z45" i="7"/>
  <c r="U45" i="7"/>
  <c r="U151" i="1" s="1"/>
  <c r="U5" i="12"/>
  <c r="U12" i="16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AG12" i="16" s="1"/>
  <c r="X45" i="7"/>
  <c r="X5" i="12"/>
  <c r="AA45" i="7"/>
  <c r="AA5" i="12"/>
  <c r="AD5" i="12"/>
  <c r="AD45" i="7"/>
  <c r="AB45" i="7"/>
  <c r="AB5" i="12"/>
  <c r="W45" i="7"/>
  <c r="W5" i="12"/>
  <c r="AH206" i="1"/>
  <c r="AH42" i="7" s="1"/>
  <c r="AI38" i="1"/>
  <c r="AI21" i="7"/>
  <c r="AJ28" i="1"/>
  <c r="AJ32" i="1" s="1"/>
  <c r="AJ20" i="7" s="1"/>
  <c r="DI20" i="7" s="1"/>
  <c r="EB20" i="7" s="1"/>
  <c r="AJ16" i="7"/>
  <c r="AF45" i="7"/>
  <c r="DZ16" i="7"/>
  <c r="DH16" i="7"/>
  <c r="AK6" i="7"/>
  <c r="AK10" i="7" s="1"/>
  <c r="AK3" i="7"/>
  <c r="AK125" i="1" s="1"/>
  <c r="AN142" i="1"/>
  <c r="AN144" i="1" s="1"/>
  <c r="AN318" i="5"/>
  <c r="AN320" i="5" s="1"/>
  <c r="AO317" i="5"/>
  <c r="AO318" i="5" s="1"/>
  <c r="AO320" i="5" s="1"/>
  <c r="AM77" i="5"/>
  <c r="AM81" i="5" s="1"/>
  <c r="AM438" i="5" s="1"/>
  <c r="AJ174" i="1"/>
  <c r="AJ133" i="1"/>
  <c r="AJ125" i="1"/>
  <c r="AJ41" i="1"/>
  <c r="AJ50" i="1"/>
  <c r="AJ47" i="1"/>
  <c r="AJ122" i="1"/>
  <c r="AJ44" i="1"/>
  <c r="AJ111" i="1"/>
  <c r="AJ130" i="1"/>
  <c r="AJ114" i="1"/>
  <c r="AJ108" i="1"/>
  <c r="AJ94" i="1"/>
  <c r="AJ77" i="1"/>
  <c r="E7" i="29"/>
  <c r="AG19" i="16"/>
  <c r="AH7" i="11"/>
  <c r="AK174" i="1"/>
  <c r="AK47" i="1"/>
  <c r="AK44" i="1"/>
  <c r="AK41" i="1"/>
  <c r="AK130" i="1"/>
  <c r="AK108" i="1"/>
  <c r="AG182" i="1"/>
  <c r="AG183" i="1" s="1"/>
  <c r="AF183" i="1" s="1"/>
  <c r="AF8" i="16" s="1"/>
  <c r="AG175" i="1"/>
  <c r="AF175" i="1" s="1"/>
  <c r="AF7" i="16" s="1"/>
  <c r="AB179" i="1"/>
  <c r="AB19" i="16" s="1"/>
  <c r="AJ198" i="1"/>
  <c r="AL198" i="1"/>
  <c r="AK198" i="1"/>
  <c r="AI198" i="1"/>
  <c r="AI206" i="1" s="1"/>
  <c r="AM198" i="1"/>
  <c r="AK35" i="1"/>
  <c r="AK10" i="1"/>
  <c r="AL8" i="1"/>
  <c r="AJ189" i="1"/>
  <c r="AJ190" i="1" s="1"/>
  <c r="AJ14" i="11" s="1"/>
  <c r="AJ37" i="1"/>
  <c r="AF39" i="25"/>
  <c r="AG3" i="18"/>
  <c r="AG3" i="25"/>
  <c r="AF3" i="18"/>
  <c r="AF3" i="25"/>
  <c r="AN50" i="5"/>
  <c r="AE39" i="25"/>
  <c r="AM54" i="5"/>
  <c r="AM437" i="5" s="1"/>
  <c r="AL456" i="5"/>
  <c r="AL457" i="5" s="1"/>
  <c r="AE3" i="18"/>
  <c r="EB3" i="7"/>
  <c r="EB50" i="7" s="1"/>
  <c r="G4" i="30"/>
  <c r="G5" i="30" s="1"/>
  <c r="AO41" i="5"/>
  <c r="AO42" i="5" s="1"/>
  <c r="AO47" i="5"/>
  <c r="AO48" i="5" s="1"/>
  <c r="AO36" i="5"/>
  <c r="EA12" i="7"/>
  <c r="EB6" i="7"/>
  <c r="EB10" i="7" s="1"/>
  <c r="AG4" i="18"/>
  <c r="AG45" i="7"/>
  <c r="D7" i="30"/>
  <c r="D8" i="30" s="1"/>
  <c r="D4" i="29"/>
  <c r="AN68" i="5"/>
  <c r="AN69" i="5" s="1"/>
  <c r="AO62" i="5"/>
  <c r="AN74" i="5"/>
  <c r="AN75" i="5" s="1"/>
  <c r="AN63" i="5"/>
  <c r="EB26" i="7"/>
  <c r="DZ36" i="7" l="1"/>
  <c r="AG131" i="31"/>
  <c r="AD23" i="31"/>
  <c r="AD463" i="31"/>
  <c r="AD465" i="31" s="1"/>
  <c r="AG293" i="31"/>
  <c r="AF185" i="31"/>
  <c r="AF189" i="31" s="1"/>
  <c r="AF442" i="31" s="1"/>
  <c r="AF428" i="31"/>
  <c r="AH224" i="31"/>
  <c r="AG225" i="31"/>
  <c r="AG239" i="31" s="1"/>
  <c r="AG236" i="31"/>
  <c r="AG237" i="31" s="1"/>
  <c r="AG230" i="31"/>
  <c r="AG231" i="31" s="1"/>
  <c r="AH122" i="31"/>
  <c r="AH123" i="31" s="1"/>
  <c r="AH117" i="31"/>
  <c r="AH128" i="31"/>
  <c r="AH129" i="31" s="1"/>
  <c r="AI116" i="31"/>
  <c r="AG36" i="31"/>
  <c r="AG50" i="31" s="1"/>
  <c r="AG47" i="31"/>
  <c r="AG48" i="31" s="1"/>
  <c r="AH35" i="31"/>
  <c r="AG41" i="31"/>
  <c r="AG42" i="31" s="1"/>
  <c r="DG36" i="7"/>
  <c r="AI178" i="1"/>
  <c r="AI179" i="1" s="1"/>
  <c r="AI19" i="16" s="1"/>
  <c r="AG104" i="31"/>
  <c r="AC456" i="31"/>
  <c r="AC457" i="31" s="1"/>
  <c r="AC27" i="31"/>
  <c r="AC436" i="31" s="1"/>
  <c r="AC452" i="31" s="1"/>
  <c r="AC466" i="31" s="1"/>
  <c r="AI398" i="31"/>
  <c r="AI399" i="31" s="1"/>
  <c r="AI392" i="31"/>
  <c r="AI393" i="31" s="1"/>
  <c r="AJ386" i="31"/>
  <c r="AI387" i="31"/>
  <c r="AI401" i="31" s="1"/>
  <c r="AF239" i="31"/>
  <c r="AA452" i="31"/>
  <c r="AB436" i="31"/>
  <c r="AB452" i="31" s="1"/>
  <c r="AB466" i="31" s="1"/>
  <c r="AO20" i="5"/>
  <c r="AO21" i="5" s="1"/>
  <c r="AO9" i="5"/>
  <c r="AO23" i="5" s="1"/>
  <c r="AO14" i="5"/>
  <c r="AO15" i="5" s="1"/>
  <c r="AK77" i="1"/>
  <c r="AF371" i="31"/>
  <c r="AF372" i="31" s="1"/>
  <c r="AG359" i="31"/>
  <c r="AF365" i="31"/>
  <c r="AF366" i="31" s="1"/>
  <c r="AF360" i="31"/>
  <c r="AH101" i="31"/>
  <c r="AH102" i="31" s="1"/>
  <c r="AI89" i="31"/>
  <c r="AH90" i="31"/>
  <c r="AH104" i="31" s="1"/>
  <c r="AH95" i="31"/>
  <c r="AH96" i="31" s="1"/>
  <c r="AN349" i="5"/>
  <c r="AN351" i="5" s="1"/>
  <c r="AN448" i="5" s="1"/>
  <c r="AN403" i="5"/>
  <c r="AN405" i="5" s="1"/>
  <c r="AN450" i="5" s="1"/>
  <c r="AN160" i="5"/>
  <c r="AN162" i="5" s="1"/>
  <c r="AN441" i="5" s="1"/>
  <c r="AN295" i="5"/>
  <c r="AN297" i="5" s="1"/>
  <c r="AN446" i="5" s="1"/>
  <c r="AN187" i="5"/>
  <c r="AN189" i="5" s="1"/>
  <c r="AN442" i="5" s="1"/>
  <c r="AN376" i="5"/>
  <c r="AN378" i="5" s="1"/>
  <c r="AN449" i="5" s="1"/>
  <c r="AN106" i="5"/>
  <c r="AN108" i="5" s="1"/>
  <c r="AN439" i="5" s="1"/>
  <c r="AN322" i="5"/>
  <c r="AN324" i="5" s="1"/>
  <c r="AN447" i="5" s="1"/>
  <c r="AO25" i="5"/>
  <c r="AN52" i="5"/>
  <c r="AN79" i="5"/>
  <c r="AN268" i="5"/>
  <c r="AN270" i="5" s="1"/>
  <c r="AN445" i="5" s="1"/>
  <c r="AN430" i="5"/>
  <c r="AN432" i="5" s="1"/>
  <c r="AN451" i="5" s="1"/>
  <c r="AN214" i="5"/>
  <c r="AN216" i="5" s="1"/>
  <c r="AN443" i="5" s="1"/>
  <c r="AN241" i="5"/>
  <c r="AN133" i="5"/>
  <c r="AN135" i="5" s="1"/>
  <c r="AN440" i="5" s="1"/>
  <c r="AG171" i="31"/>
  <c r="AG185" i="31" s="1"/>
  <c r="AG182" i="31"/>
  <c r="AG183" i="31" s="1"/>
  <c r="AH170" i="31"/>
  <c r="AG176" i="31"/>
  <c r="AG177" i="31" s="1"/>
  <c r="AH413" i="31"/>
  <c r="AG419" i="31"/>
  <c r="AG420" i="31" s="1"/>
  <c r="AG425" i="31"/>
  <c r="AG426" i="31" s="1"/>
  <c r="AG414" i="31"/>
  <c r="AF266" i="31"/>
  <c r="AI332" i="31"/>
  <c r="AH333" i="31"/>
  <c r="AH344" i="31"/>
  <c r="AH345" i="31" s="1"/>
  <c r="AH338" i="31"/>
  <c r="AH339" i="31" s="1"/>
  <c r="AE14" i="31"/>
  <c r="AE15" i="31" s="1"/>
  <c r="AE9" i="31"/>
  <c r="AF8" i="31"/>
  <c r="AE20" i="31"/>
  <c r="AE21" i="31" s="1"/>
  <c r="AH290" i="31"/>
  <c r="AH291" i="31" s="1"/>
  <c r="AH284" i="31"/>
  <c r="AH285" i="31" s="1"/>
  <c r="AI278" i="31"/>
  <c r="AH279" i="31"/>
  <c r="AF198" i="31"/>
  <c r="AG197" i="31"/>
  <c r="AF209" i="31"/>
  <c r="AF210" i="31" s="1"/>
  <c r="AF203" i="31"/>
  <c r="AF204" i="31" s="1"/>
  <c r="AF214" i="31"/>
  <c r="AF376" i="31"/>
  <c r="AF322" i="31"/>
  <c r="AF324" i="31" s="1"/>
  <c r="AF447" i="31" s="1"/>
  <c r="AF133" i="31"/>
  <c r="AF135" i="31" s="1"/>
  <c r="AF440" i="31" s="1"/>
  <c r="AF295" i="31"/>
  <c r="AF297" i="31" s="1"/>
  <c r="AF446" i="31" s="1"/>
  <c r="AF79" i="31"/>
  <c r="AF81" i="31" s="1"/>
  <c r="AF438" i="31" s="1"/>
  <c r="AF187" i="31"/>
  <c r="AF268" i="31"/>
  <c r="AF270" i="31" s="1"/>
  <c r="AF445" i="31" s="1"/>
  <c r="AF52" i="31"/>
  <c r="AF54" i="31" s="1"/>
  <c r="AF437" i="31" s="1"/>
  <c r="AF241" i="31"/>
  <c r="AG25" i="31"/>
  <c r="AF430" i="31"/>
  <c r="AF403" i="31"/>
  <c r="AF405" i="31" s="1"/>
  <c r="AF450" i="31" s="1"/>
  <c r="AF160" i="31"/>
  <c r="AF162" i="31" s="1"/>
  <c r="AF441" i="31" s="1"/>
  <c r="AF106" i="31"/>
  <c r="AF108" i="31" s="1"/>
  <c r="AF439" i="31" s="1"/>
  <c r="AF349" i="31"/>
  <c r="AF351" i="31" s="1"/>
  <c r="AF448" i="31" s="1"/>
  <c r="AG257" i="31"/>
  <c r="AG258" i="31" s="1"/>
  <c r="AG263" i="31"/>
  <c r="AG264" i="31" s="1"/>
  <c r="AG252" i="31"/>
  <c r="AG266" i="31" s="1"/>
  <c r="AH251" i="31"/>
  <c r="AK94" i="1"/>
  <c r="AK114" i="1"/>
  <c r="AK111" i="1"/>
  <c r="AK50" i="1"/>
  <c r="AK122" i="1"/>
  <c r="AJ178" i="1"/>
  <c r="AJ179" i="1" s="1"/>
  <c r="AJ19" i="16" s="1"/>
  <c r="H4" i="30"/>
  <c r="H5" i="30" s="1"/>
  <c r="G46" i="33"/>
  <c r="G44" i="33" s="1"/>
  <c r="AI7" i="11"/>
  <c r="F7" i="29"/>
  <c r="AF6" i="12"/>
  <c r="AE6" i="12"/>
  <c r="AE17" i="12"/>
  <c r="AE24" i="12" s="1"/>
  <c r="AF17" i="12"/>
  <c r="AL178" i="1"/>
  <c r="AL3" i="7"/>
  <c r="H46" i="33" s="1"/>
  <c r="H44" i="33" s="1"/>
  <c r="AL466" i="5"/>
  <c r="AK133" i="1"/>
  <c r="AN230" i="5"/>
  <c r="AN231" i="5" s="1"/>
  <c r="AN236" i="5"/>
  <c r="AN237" i="5" s="1"/>
  <c r="AO224" i="5"/>
  <c r="AN225" i="5"/>
  <c r="AM239" i="5"/>
  <c r="AM463" i="5"/>
  <c r="AM465" i="5" s="1"/>
  <c r="AM8" i="7" s="1"/>
  <c r="AH37" i="7"/>
  <c r="DZ37" i="7" s="1"/>
  <c r="AC5" i="12"/>
  <c r="AI36" i="7"/>
  <c r="AI39" i="7" s="1"/>
  <c r="E47" i="33" s="1"/>
  <c r="E45" i="33" s="1"/>
  <c r="AL76" i="1"/>
  <c r="AL26" i="7" s="1"/>
  <c r="AM70" i="1"/>
  <c r="AM72" i="1" s="1"/>
  <c r="AN63" i="1"/>
  <c r="AM65" i="1"/>
  <c r="AM76" i="1" s="1"/>
  <c r="AM26" i="7" s="1"/>
  <c r="AH45" i="7"/>
  <c r="DZ45" i="7" s="1"/>
  <c r="DG42" i="7"/>
  <c r="DG39" i="7" s="1"/>
  <c r="DZ39" i="7" s="1"/>
  <c r="AJ38" i="1"/>
  <c r="AJ21" i="7"/>
  <c r="AJ36" i="7" s="1"/>
  <c r="AK28" i="1"/>
  <c r="AK32" i="1" s="1"/>
  <c r="AK20" i="7" s="1"/>
  <c r="AK16" i="7"/>
  <c r="EA16" i="7"/>
  <c r="EA36" i="7" s="1"/>
  <c r="DH36" i="7"/>
  <c r="AH40" i="7"/>
  <c r="E4" i="29"/>
  <c r="E28" i="29" s="1"/>
  <c r="E30" i="29" s="1"/>
  <c r="E7" i="30"/>
  <c r="AH4" i="11"/>
  <c r="AI42" i="7"/>
  <c r="AH12" i="16"/>
  <c r="DI16" i="7"/>
  <c r="AK12" i="7"/>
  <c r="AK13" i="7" s="1"/>
  <c r="AL6" i="7"/>
  <c r="AL10" i="7" s="1"/>
  <c r="AL12" i="7" s="1"/>
  <c r="AC7" i="11"/>
  <c r="AG39" i="25"/>
  <c r="DH42" i="7"/>
  <c r="DH39" i="7" s="1"/>
  <c r="AO142" i="1"/>
  <c r="AO144" i="1" s="1"/>
  <c r="AB6" i="12"/>
  <c r="AB17" i="12"/>
  <c r="AF173" i="1"/>
  <c r="AE173" i="1" s="1"/>
  <c r="AJ182" i="1"/>
  <c r="AJ183" i="1" s="1"/>
  <c r="AJ8" i="16" s="1"/>
  <c r="AJ175" i="1"/>
  <c r="AJ7" i="16" s="1"/>
  <c r="AL174" i="1"/>
  <c r="AL133" i="1"/>
  <c r="AL125" i="1"/>
  <c r="AL41" i="1"/>
  <c r="AL50" i="1"/>
  <c r="AL44" i="1"/>
  <c r="AL122" i="1"/>
  <c r="AL47" i="1"/>
  <c r="AL130" i="1"/>
  <c r="AL111" i="1"/>
  <c r="AL114" i="1"/>
  <c r="AL94" i="1"/>
  <c r="AL108" i="1"/>
  <c r="AL179" i="1"/>
  <c r="AL19" i="16" s="1"/>
  <c r="AL7" i="11" s="1"/>
  <c r="AA179" i="1"/>
  <c r="AA19" i="16" s="1"/>
  <c r="AK182" i="1"/>
  <c r="AK183" i="1" s="1"/>
  <c r="AK8" i="16" s="1"/>
  <c r="AK175" i="1"/>
  <c r="AK7" i="16" s="1"/>
  <c r="AJ199" i="1"/>
  <c r="AN199" i="1"/>
  <c r="AM199" i="1"/>
  <c r="AL199" i="1"/>
  <c r="AK199" i="1"/>
  <c r="AL35" i="1"/>
  <c r="AM8" i="1"/>
  <c r="AL10" i="1"/>
  <c r="AK189" i="1"/>
  <c r="AK190" i="1" s="1"/>
  <c r="AK14" i="11" s="1"/>
  <c r="AK37" i="1"/>
  <c r="AG5" i="18"/>
  <c r="AG8" i="18" s="1"/>
  <c r="AE4" i="18"/>
  <c r="AF4" i="18"/>
  <c r="AF5" i="18" s="1"/>
  <c r="AF8" i="18" s="1"/>
  <c r="AC22" i="25"/>
  <c r="AN77" i="5"/>
  <c r="AO68" i="5"/>
  <c r="AO69" i="5" s="1"/>
  <c r="AO74" i="5"/>
  <c r="AO75" i="5" s="1"/>
  <c r="AO63" i="5"/>
  <c r="AN463" i="5"/>
  <c r="AN465" i="5" s="1"/>
  <c r="AN8" i="7" s="1"/>
  <c r="I4" i="30"/>
  <c r="AG4" i="11"/>
  <c r="H7" i="29"/>
  <c r="EA13" i="7"/>
  <c r="AD19" i="25"/>
  <c r="AO50" i="5"/>
  <c r="AN54" i="5"/>
  <c r="AN437" i="5" s="1"/>
  <c r="AD22" i="25"/>
  <c r="AH176" i="31" l="1"/>
  <c r="AH177" i="31" s="1"/>
  <c r="AI170" i="31"/>
  <c r="AH182" i="31"/>
  <c r="AH183" i="31" s="1"/>
  <c r="AH171" i="31"/>
  <c r="AN81" i="5"/>
  <c r="AN438" i="5" s="1"/>
  <c r="AG209" i="31"/>
  <c r="AG210" i="31" s="1"/>
  <c r="AG203" i="31"/>
  <c r="AG204" i="31" s="1"/>
  <c r="AG198" i="31"/>
  <c r="AH197" i="31"/>
  <c r="AI279" i="31"/>
  <c r="AI293" i="31" s="1"/>
  <c r="AI290" i="31"/>
  <c r="AI291" i="31" s="1"/>
  <c r="AI284" i="31"/>
  <c r="AI285" i="31" s="1"/>
  <c r="AJ278" i="31"/>
  <c r="AG8" i="31"/>
  <c r="AF9" i="31"/>
  <c r="AF14" i="31"/>
  <c r="AF15" i="31" s="1"/>
  <c r="AF20" i="31"/>
  <c r="AF21" i="31" s="1"/>
  <c r="AH425" i="31"/>
  <c r="AH426" i="31" s="1"/>
  <c r="AI413" i="31"/>
  <c r="AH419" i="31"/>
  <c r="AH420" i="31" s="1"/>
  <c r="AH414" i="31"/>
  <c r="AG189" i="31"/>
  <c r="AG442" i="31" s="1"/>
  <c r="AO187" i="5"/>
  <c r="AO189" i="5" s="1"/>
  <c r="AO442" i="5" s="1"/>
  <c r="AO430" i="5"/>
  <c r="AO432" i="5" s="1"/>
  <c r="AO451" i="5" s="1"/>
  <c r="AO322" i="5"/>
  <c r="AO324" i="5" s="1"/>
  <c r="AO447" i="5" s="1"/>
  <c r="AO214" i="5"/>
  <c r="AO216" i="5" s="1"/>
  <c r="AO443" i="5" s="1"/>
  <c r="AO268" i="5"/>
  <c r="AO270" i="5" s="1"/>
  <c r="AO445" i="5" s="1"/>
  <c r="AO349" i="5"/>
  <c r="AO351" i="5" s="1"/>
  <c r="AO448" i="5" s="1"/>
  <c r="AO106" i="5"/>
  <c r="AO108" i="5" s="1"/>
  <c r="AO439" i="5" s="1"/>
  <c r="AO160" i="5"/>
  <c r="AO162" i="5" s="1"/>
  <c r="AO441" i="5" s="1"/>
  <c r="AO133" i="5"/>
  <c r="AO135" i="5" s="1"/>
  <c r="AO440" i="5" s="1"/>
  <c r="AO376" i="5"/>
  <c r="AO378" i="5" s="1"/>
  <c r="AO449" i="5" s="1"/>
  <c r="AO52" i="5"/>
  <c r="AO79" i="5"/>
  <c r="AO295" i="5"/>
  <c r="AO297" i="5" s="1"/>
  <c r="AO446" i="5" s="1"/>
  <c r="AO241" i="5"/>
  <c r="AO403" i="5"/>
  <c r="AO405" i="5" s="1"/>
  <c r="AO450" i="5" s="1"/>
  <c r="AO27" i="5"/>
  <c r="AO436" i="5" s="1"/>
  <c r="AH41" i="31"/>
  <c r="AH42" i="31" s="1"/>
  <c r="AI35" i="31"/>
  <c r="AH47" i="31"/>
  <c r="AH48" i="31" s="1"/>
  <c r="AH36" i="31"/>
  <c r="AH50" i="31" s="1"/>
  <c r="AF432" i="31"/>
  <c r="AF451" i="31" s="1"/>
  <c r="AJ332" i="31"/>
  <c r="AI338" i="31"/>
  <c r="AI339" i="31" s="1"/>
  <c r="AI333" i="31"/>
  <c r="AI347" i="31" s="1"/>
  <c r="AI344" i="31"/>
  <c r="AI345" i="31" s="1"/>
  <c r="AH257" i="31"/>
  <c r="AH258" i="31" s="1"/>
  <c r="AI251" i="31"/>
  <c r="AH263" i="31"/>
  <c r="AH264" i="31" s="1"/>
  <c r="AH252" i="31"/>
  <c r="AF212" i="31"/>
  <c r="AF216" i="31" s="1"/>
  <c r="AF443" i="31" s="1"/>
  <c r="AE463" i="31"/>
  <c r="AE465" i="31" s="1"/>
  <c r="AE23" i="31"/>
  <c r="AH347" i="31"/>
  <c r="AG428" i="31"/>
  <c r="AF374" i="31"/>
  <c r="AF378" i="31" s="1"/>
  <c r="AF449" i="31" s="1"/>
  <c r="AF243" i="31"/>
  <c r="AF444" i="31" s="1"/>
  <c r="AB458" i="31"/>
  <c r="AH131" i="31"/>
  <c r="AD27" i="31"/>
  <c r="AD436" i="31" s="1"/>
  <c r="AD452" i="31" s="1"/>
  <c r="AD466" i="31" s="1"/>
  <c r="AD456" i="31"/>
  <c r="AD457" i="31" s="1"/>
  <c r="AG135" i="31"/>
  <c r="AG440" i="31" s="1"/>
  <c r="I5" i="30"/>
  <c r="AN239" i="5"/>
  <c r="AN243" i="5" s="1"/>
  <c r="AN444" i="5" s="1"/>
  <c r="AN452" i="5" s="1"/>
  <c r="AG268" i="31"/>
  <c r="AG270" i="31" s="1"/>
  <c r="AG445" i="31" s="1"/>
  <c r="AG349" i="31"/>
  <c r="AG351" i="31" s="1"/>
  <c r="AG448" i="31" s="1"/>
  <c r="AG79" i="31"/>
  <c r="AG81" i="31" s="1"/>
  <c r="AG438" i="31" s="1"/>
  <c r="AG376" i="31"/>
  <c r="AG133" i="31"/>
  <c r="AG295" i="31"/>
  <c r="AG106" i="31"/>
  <c r="AG108" i="31" s="1"/>
  <c r="AG439" i="31" s="1"/>
  <c r="AG322" i="31"/>
  <c r="AG324" i="31" s="1"/>
  <c r="AG447" i="31" s="1"/>
  <c r="AG160" i="31"/>
  <c r="AG162" i="31" s="1"/>
  <c r="AG441" i="31" s="1"/>
  <c r="AH25" i="31"/>
  <c r="AG214" i="31"/>
  <c r="AG52" i="31"/>
  <c r="AG54" i="31" s="1"/>
  <c r="AG437" i="31" s="1"/>
  <c r="AG403" i="31"/>
  <c r="AG405" i="31" s="1"/>
  <c r="AG450" i="31" s="1"/>
  <c r="AG187" i="31"/>
  <c r="AG430" i="31"/>
  <c r="AG241" i="31"/>
  <c r="AG243" i="31" s="1"/>
  <c r="AG444" i="31" s="1"/>
  <c r="AH293" i="31"/>
  <c r="AJ89" i="31"/>
  <c r="AI90" i="31"/>
  <c r="AI104" i="31" s="1"/>
  <c r="AI101" i="31"/>
  <c r="AI102" i="31" s="1"/>
  <c r="AI95" i="31"/>
  <c r="AI96" i="31" s="1"/>
  <c r="AG365" i="31"/>
  <c r="AG366" i="31" s="1"/>
  <c r="AG360" i="31"/>
  <c r="AG374" i="31" s="1"/>
  <c r="AG378" i="31" s="1"/>
  <c r="AG449" i="31" s="1"/>
  <c r="AG371" i="31"/>
  <c r="AG372" i="31" s="1"/>
  <c r="AH359" i="31"/>
  <c r="AJ387" i="31"/>
  <c r="AJ398" i="31"/>
  <c r="AJ399" i="31" s="1"/>
  <c r="AJ392" i="31"/>
  <c r="AJ393" i="31" s="1"/>
  <c r="AC458" i="31"/>
  <c r="AI117" i="31"/>
  <c r="AI122" i="31"/>
  <c r="AI123" i="31" s="1"/>
  <c r="AI128" i="31"/>
  <c r="AI129" i="31" s="1"/>
  <c r="AJ116" i="31"/>
  <c r="AH230" i="31"/>
  <c r="AH231" i="31" s="1"/>
  <c r="AH225" i="31"/>
  <c r="AH239" i="31" s="1"/>
  <c r="AI224" i="31"/>
  <c r="AH236" i="31"/>
  <c r="AH237" i="31" s="1"/>
  <c r="AG297" i="31"/>
  <c r="AG446" i="31" s="1"/>
  <c r="AJ7" i="11"/>
  <c r="AG6" i="12"/>
  <c r="AG17" i="12"/>
  <c r="G7" i="29"/>
  <c r="AK7" i="11"/>
  <c r="AL77" i="1"/>
  <c r="AM243" i="5"/>
  <c r="AM444" i="5" s="1"/>
  <c r="AM452" i="5" s="1"/>
  <c r="AM456" i="5"/>
  <c r="AM457" i="5" s="1"/>
  <c r="AM178" i="1" s="1"/>
  <c r="AO230" i="5"/>
  <c r="AO231" i="5" s="1"/>
  <c r="AO225" i="5"/>
  <c r="AO236" i="5"/>
  <c r="AO237" i="5" s="1"/>
  <c r="AI37" i="7"/>
  <c r="EA37" i="7" s="1"/>
  <c r="DZ42" i="7"/>
  <c r="EA39" i="7"/>
  <c r="AN70" i="1"/>
  <c r="AN72" i="1" s="1"/>
  <c r="AO63" i="1"/>
  <c r="AN65" i="1"/>
  <c r="AI45" i="7"/>
  <c r="EA45" i="7" s="1"/>
  <c r="AI12" i="16"/>
  <c r="AK38" i="1"/>
  <c r="AK21" i="7"/>
  <c r="AK36" i="7" s="1"/>
  <c r="AL28" i="1"/>
  <c r="AL32" i="1" s="1"/>
  <c r="AL20" i="7" s="1"/>
  <c r="AL16" i="7"/>
  <c r="AK5" i="11"/>
  <c r="AJ5" i="11"/>
  <c r="AJ37" i="7"/>
  <c r="EB37" i="7" s="1"/>
  <c r="AJ39" i="7"/>
  <c r="F47" i="33" s="1"/>
  <c r="F45" i="33" s="1"/>
  <c r="E8" i="30"/>
  <c r="E14" i="30"/>
  <c r="E16" i="30" s="1"/>
  <c r="AJ206" i="1"/>
  <c r="AJ42" i="7" s="1"/>
  <c r="AK6" i="11"/>
  <c r="AJ6" i="11"/>
  <c r="EB16" i="7"/>
  <c r="EB36" i="7" s="1"/>
  <c r="DI36" i="7"/>
  <c r="AI4" i="11"/>
  <c r="F7" i="30"/>
  <c r="AI40" i="7"/>
  <c r="F4" i="29"/>
  <c r="F28" i="29" s="1"/>
  <c r="F30" i="29" s="1"/>
  <c r="AL13" i="7"/>
  <c r="AB7" i="11"/>
  <c r="EA42" i="7"/>
  <c r="AN456" i="5"/>
  <c r="AN457" i="5" s="1"/>
  <c r="AF6" i="18"/>
  <c r="AE183" i="1"/>
  <c r="AE8" i="16" s="1"/>
  <c r="AF6" i="11" s="1"/>
  <c r="Z179" i="1"/>
  <c r="Z19" i="16" s="1"/>
  <c r="AD39" i="25"/>
  <c r="AA17" i="12"/>
  <c r="AA6" i="12"/>
  <c r="AL182" i="1"/>
  <c r="AL183" i="1" s="1"/>
  <c r="AL8" i="16" s="1"/>
  <c r="AL175" i="1"/>
  <c r="AL7" i="16" s="1"/>
  <c r="AD173" i="1"/>
  <c r="AE175" i="1"/>
  <c r="AE7" i="16" s="1"/>
  <c r="AF5" i="11" s="1"/>
  <c r="AL189" i="1"/>
  <c r="AL190" i="1" s="1"/>
  <c r="AL14" i="11" s="1"/>
  <c r="AL37" i="1"/>
  <c r="AL200" i="1"/>
  <c r="AK200" i="1"/>
  <c r="AO200" i="1"/>
  <c r="AN200" i="1"/>
  <c r="AM200" i="1"/>
  <c r="AM35" i="1"/>
  <c r="AM10" i="1"/>
  <c r="AN8" i="1"/>
  <c r="AG6" i="18"/>
  <c r="AO54" i="5"/>
  <c r="AO437" i="5" s="1"/>
  <c r="AG18" i="12"/>
  <c r="H5" i="29"/>
  <c r="AG7" i="12"/>
  <c r="G5" i="29"/>
  <c r="AO77" i="5"/>
  <c r="I7" i="29"/>
  <c r="AG19" i="12"/>
  <c r="H6" i="29"/>
  <c r="G6" i="29"/>
  <c r="AG8" i="12"/>
  <c r="EB12" i="7"/>
  <c r="AE5" i="18"/>
  <c r="AN3" i="7" l="1"/>
  <c r="AN466" i="5"/>
  <c r="AJ251" i="31"/>
  <c r="AI257" i="31"/>
  <c r="AI258" i="31" s="1"/>
  <c r="AI252" i="31"/>
  <c r="AI263" i="31"/>
  <c r="AI264" i="31" s="1"/>
  <c r="AO81" i="5"/>
  <c r="AO438" i="5" s="1"/>
  <c r="AN76" i="1"/>
  <c r="AN26" i="7" s="1"/>
  <c r="AN178" i="1" s="1"/>
  <c r="AN179" i="1" s="1"/>
  <c r="AN19" i="16" s="1"/>
  <c r="AJ117" i="31"/>
  <c r="AJ128" i="31"/>
  <c r="AJ129" i="31" s="1"/>
  <c r="AJ122" i="31"/>
  <c r="AJ123" i="31" s="1"/>
  <c r="AI359" i="31"/>
  <c r="AH371" i="31"/>
  <c r="AH372" i="31" s="1"/>
  <c r="AH365" i="31"/>
  <c r="AH366" i="31" s="1"/>
  <c r="AH360" i="31"/>
  <c r="AH374" i="31" s="1"/>
  <c r="AH266" i="31"/>
  <c r="AJ344" i="31"/>
  <c r="AJ345" i="31" s="1"/>
  <c r="AJ338" i="31"/>
  <c r="AJ339" i="31" s="1"/>
  <c r="AJ333" i="31"/>
  <c r="AI36" i="31"/>
  <c r="AI47" i="31"/>
  <c r="AI48" i="31" s="1"/>
  <c r="AJ35" i="31"/>
  <c r="AI41" i="31"/>
  <c r="AI42" i="31" s="1"/>
  <c r="AG212" i="31"/>
  <c r="AG216" i="31" s="1"/>
  <c r="AG443" i="31" s="1"/>
  <c r="AH185" i="31"/>
  <c r="AJ224" i="31"/>
  <c r="AI225" i="31"/>
  <c r="AI236" i="31"/>
  <c r="AI237" i="31" s="1"/>
  <c r="AI230" i="31"/>
  <c r="AI231" i="31" s="1"/>
  <c r="AD458" i="31"/>
  <c r="AE27" i="31"/>
  <c r="AE436" i="31" s="1"/>
  <c r="AE452" i="31" s="1"/>
  <c r="AE466" i="31" s="1"/>
  <c r="AE456" i="31"/>
  <c r="AE457" i="31" s="1"/>
  <c r="AE458" i="31" s="1"/>
  <c r="AI425" i="31"/>
  <c r="AI426" i="31" s="1"/>
  <c r="AI419" i="31"/>
  <c r="AI420" i="31" s="1"/>
  <c r="AI414" i="31"/>
  <c r="AI428" i="31" s="1"/>
  <c r="AJ413" i="31"/>
  <c r="AF463" i="31"/>
  <c r="AF465" i="31" s="1"/>
  <c r="AF23" i="31"/>
  <c r="AG20" i="31"/>
  <c r="AG21" i="31" s="1"/>
  <c r="AH8" i="31"/>
  <c r="AG14" i="31"/>
  <c r="AG15" i="31" s="1"/>
  <c r="AG9" i="31"/>
  <c r="AI171" i="31"/>
  <c r="AJ170" i="31"/>
  <c r="AI176" i="31"/>
  <c r="AI177" i="31" s="1"/>
  <c r="AI182" i="31"/>
  <c r="AI183" i="31" s="1"/>
  <c r="AI131" i="31"/>
  <c r="AJ401" i="31"/>
  <c r="AJ95" i="31"/>
  <c r="AJ96" i="31" s="1"/>
  <c r="AJ90" i="31"/>
  <c r="AJ101" i="31"/>
  <c r="AJ102" i="31" s="1"/>
  <c r="AH241" i="31"/>
  <c r="AH243" i="31" s="1"/>
  <c r="AH444" i="31" s="1"/>
  <c r="AI25" i="31"/>
  <c r="AH52" i="31"/>
  <c r="AH54" i="31" s="1"/>
  <c r="AH437" i="31" s="1"/>
  <c r="AH403" i="31"/>
  <c r="AH405" i="31" s="1"/>
  <c r="AH450" i="31" s="1"/>
  <c r="AH430" i="31"/>
  <c r="AH349" i="31"/>
  <c r="AH351" i="31" s="1"/>
  <c r="AH448" i="31" s="1"/>
  <c r="AH187" i="31"/>
  <c r="AH376" i="31"/>
  <c r="AH106" i="31"/>
  <c r="AH108" i="31" s="1"/>
  <c r="AH439" i="31" s="1"/>
  <c r="AH295" i="31"/>
  <c r="AH297" i="31" s="1"/>
  <c r="AH446" i="31" s="1"/>
  <c r="AH79" i="31"/>
  <c r="AH81" i="31" s="1"/>
  <c r="AH438" i="31" s="1"/>
  <c r="AH322" i="31"/>
  <c r="AH324" i="31" s="1"/>
  <c r="AH447" i="31" s="1"/>
  <c r="AH133" i="31"/>
  <c r="AH268" i="31"/>
  <c r="AH270" i="31" s="1"/>
  <c r="AH445" i="31" s="1"/>
  <c r="AH160" i="31"/>
  <c r="AH162" i="31" s="1"/>
  <c r="AH441" i="31" s="1"/>
  <c r="AH214" i="31"/>
  <c r="AH135" i="31"/>
  <c r="AH440" i="31" s="1"/>
  <c r="AG432" i="31"/>
  <c r="AG451" i="31" s="1"/>
  <c r="AH428" i="31"/>
  <c r="AJ279" i="31"/>
  <c r="AJ290" i="31"/>
  <c r="AJ291" i="31" s="1"/>
  <c r="AJ284" i="31"/>
  <c r="AJ285" i="31" s="1"/>
  <c r="AH203" i="31"/>
  <c r="AH204" i="31" s="1"/>
  <c r="AH198" i="31"/>
  <c r="AH209" i="31"/>
  <c r="AH210" i="31" s="1"/>
  <c r="AI197" i="31"/>
  <c r="AN114" i="1"/>
  <c r="AN50" i="1"/>
  <c r="AN125" i="1"/>
  <c r="K4" i="30"/>
  <c r="AN94" i="1"/>
  <c r="AN111" i="1"/>
  <c r="AN44" i="1"/>
  <c r="AN41" i="1"/>
  <c r="AN122" i="1"/>
  <c r="AM3" i="7"/>
  <c r="AM174" i="1" s="1"/>
  <c r="AM466" i="5"/>
  <c r="AN77" i="1"/>
  <c r="AK37" i="7"/>
  <c r="AK39" i="7"/>
  <c r="AM125" i="1"/>
  <c r="AM50" i="1"/>
  <c r="AM111" i="1"/>
  <c r="J4" i="30"/>
  <c r="J5" i="30" s="1"/>
  <c r="AM41" i="1"/>
  <c r="AM122" i="1"/>
  <c r="AM77" i="1"/>
  <c r="AO239" i="5"/>
  <c r="AO243" i="5" s="1"/>
  <c r="AO444" i="5" s="1"/>
  <c r="AO463" i="5"/>
  <c r="AO465" i="5" s="1"/>
  <c r="AO8" i="7" s="1"/>
  <c r="AM6" i="7"/>
  <c r="AM10" i="7" s="1"/>
  <c r="AM12" i="7" s="1"/>
  <c r="AM13" i="7" s="1"/>
  <c r="AM179" i="1"/>
  <c r="AM19" i="16" s="1"/>
  <c r="AO65" i="1"/>
  <c r="AO70" i="1"/>
  <c r="AO72" i="1" s="1"/>
  <c r="AJ12" i="16"/>
  <c r="AJ45" i="7"/>
  <c r="DI42" i="7"/>
  <c r="DI39" i="7" s="1"/>
  <c r="EB39" i="7" s="1"/>
  <c r="AM28" i="1"/>
  <c r="AM32" i="1" s="1"/>
  <c r="AM20" i="7" s="1"/>
  <c r="AM16" i="7"/>
  <c r="AL5" i="11"/>
  <c r="AL6" i="11"/>
  <c r="AK206" i="1"/>
  <c r="AK42" i="7" s="1"/>
  <c r="AL38" i="1"/>
  <c r="AL21" i="7"/>
  <c r="AL36" i="7" s="1"/>
  <c r="F14" i="30"/>
  <c r="F16" i="30" s="1"/>
  <c r="F21" i="30" s="1"/>
  <c r="F8" i="30"/>
  <c r="AK4" i="11"/>
  <c r="AK8" i="11" s="1"/>
  <c r="AJ4" i="11"/>
  <c r="AJ8" i="11" s="1"/>
  <c r="AJ40" i="7"/>
  <c r="AF8" i="11"/>
  <c r="AN6" i="7"/>
  <c r="AN10" i="7" s="1"/>
  <c r="AN12" i="7" s="1"/>
  <c r="AA7" i="11"/>
  <c r="AO452" i="5"/>
  <c r="AO466" i="5" s="1"/>
  <c r="AF19" i="12"/>
  <c r="AE7" i="12"/>
  <c r="AE18" i="12"/>
  <c r="AF7" i="12"/>
  <c r="F5" i="29"/>
  <c r="Y179" i="1"/>
  <c r="Y19" i="16" s="1"/>
  <c r="AD183" i="1"/>
  <c r="AD8" i="16" s="1"/>
  <c r="AE6" i="11" s="1"/>
  <c r="AC173" i="1"/>
  <c r="AD175" i="1"/>
  <c r="AD7" i="16" s="1"/>
  <c r="AE5" i="11" s="1"/>
  <c r="AF18" i="12"/>
  <c r="AC39" i="25"/>
  <c r="Z17" i="12"/>
  <c r="Z6" i="12"/>
  <c r="AE8" i="12"/>
  <c r="AE19" i="12"/>
  <c r="AF8" i="12"/>
  <c r="F6" i="29"/>
  <c r="AN35" i="1"/>
  <c r="AO8" i="1"/>
  <c r="AN10" i="1"/>
  <c r="AM189" i="1"/>
  <c r="AM190" i="1" s="1"/>
  <c r="AM14" i="11" s="1"/>
  <c r="AM37" i="1"/>
  <c r="AM201" i="1"/>
  <c r="AL201" i="1"/>
  <c r="AN201" i="1"/>
  <c r="AO201" i="1"/>
  <c r="AF19" i="25"/>
  <c r="AG19" i="25"/>
  <c r="AE8" i="18"/>
  <c r="AE6" i="18"/>
  <c r="G4" i="29"/>
  <c r="G7" i="30"/>
  <c r="I5" i="29"/>
  <c r="AO456" i="5"/>
  <c r="AO457" i="5" s="1"/>
  <c r="AE19" i="25"/>
  <c r="EB13" i="7"/>
  <c r="AG24" i="12"/>
  <c r="I6" i="29"/>
  <c r="AJ47" i="31" l="1"/>
  <c r="AJ48" i="31" s="1"/>
  <c r="AJ41" i="31"/>
  <c r="AJ42" i="31" s="1"/>
  <c r="AJ36" i="31"/>
  <c r="AH212" i="31"/>
  <c r="AH216" i="31" s="1"/>
  <c r="AH443" i="31" s="1"/>
  <c r="AJ293" i="31"/>
  <c r="AI135" i="31"/>
  <c r="AI440" i="31" s="1"/>
  <c r="AJ182" i="31"/>
  <c r="AJ183" i="31" s="1"/>
  <c r="AJ171" i="31"/>
  <c r="AJ176" i="31"/>
  <c r="AJ177" i="31" s="1"/>
  <c r="AF456" i="31"/>
  <c r="AF457" i="31" s="1"/>
  <c r="AF27" i="31"/>
  <c r="AF436" i="31" s="1"/>
  <c r="AF452" i="31" s="1"/>
  <c r="AJ236" i="31"/>
  <c r="AJ237" i="31" s="1"/>
  <c r="AJ230" i="31"/>
  <c r="AJ231" i="31" s="1"/>
  <c r="AJ225" i="31"/>
  <c r="AJ239" i="31" s="1"/>
  <c r="AI50" i="31"/>
  <c r="AI54" i="31" s="1"/>
  <c r="AI437" i="31" s="1"/>
  <c r="AI430" i="31"/>
  <c r="AI241" i="31"/>
  <c r="AI403" i="31"/>
  <c r="AI405" i="31" s="1"/>
  <c r="AI450" i="31" s="1"/>
  <c r="AI187" i="31"/>
  <c r="AI52" i="31"/>
  <c r="AJ25" i="31"/>
  <c r="AI376" i="31"/>
  <c r="AI133" i="31"/>
  <c r="AI349" i="31"/>
  <c r="AI351" i="31" s="1"/>
  <c r="AI448" i="31" s="1"/>
  <c r="AI79" i="31"/>
  <c r="AI81" i="31" s="1"/>
  <c r="AI438" i="31" s="1"/>
  <c r="AI322" i="31"/>
  <c r="AI324" i="31" s="1"/>
  <c r="AI447" i="31" s="1"/>
  <c r="AI160" i="31"/>
  <c r="AI162" i="31" s="1"/>
  <c r="AI441" i="31" s="1"/>
  <c r="AI295" i="31"/>
  <c r="AI297" i="31" s="1"/>
  <c r="AI446" i="31" s="1"/>
  <c r="AI106" i="31"/>
  <c r="AI108" i="31" s="1"/>
  <c r="AI439" i="31" s="1"/>
  <c r="AI214" i="31"/>
  <c r="AI268" i="31"/>
  <c r="AI371" i="31"/>
  <c r="AI372" i="31" s="1"/>
  <c r="AI365" i="31"/>
  <c r="AI366" i="31" s="1"/>
  <c r="AJ359" i="31"/>
  <c r="AI360" i="31"/>
  <c r="AI374" i="31" s="1"/>
  <c r="AH432" i="31"/>
  <c r="AH451" i="31" s="1"/>
  <c r="AJ104" i="31"/>
  <c r="AI185" i="31"/>
  <c r="AI189" i="31" s="1"/>
  <c r="AI442" i="31" s="1"/>
  <c r="AH14" i="31"/>
  <c r="AH15" i="31" s="1"/>
  <c r="AH9" i="31"/>
  <c r="AI8" i="31"/>
  <c r="AH20" i="31"/>
  <c r="AH21" i="31" s="1"/>
  <c r="AJ347" i="31"/>
  <c r="AJ131" i="31"/>
  <c r="AI266" i="31"/>
  <c r="AI209" i="31"/>
  <c r="AI210" i="31" s="1"/>
  <c r="AJ197" i="31"/>
  <c r="AI203" i="31"/>
  <c r="AI204" i="31" s="1"/>
  <c r="AI198" i="31"/>
  <c r="AJ419" i="31"/>
  <c r="AJ420" i="31" s="1"/>
  <c r="AJ425" i="31"/>
  <c r="AJ426" i="31" s="1"/>
  <c r="AJ414" i="31"/>
  <c r="AG463" i="31"/>
  <c r="AG465" i="31" s="1"/>
  <c r="AG23" i="31"/>
  <c r="AI432" i="31"/>
  <c r="AI451" i="31" s="1"/>
  <c r="AI239" i="31"/>
  <c r="AI243" i="31" s="1"/>
  <c r="AI444" i="31" s="1"/>
  <c r="AH189" i="31"/>
  <c r="AH442" i="31" s="1"/>
  <c r="AH378" i="31"/>
  <c r="AH449" i="31" s="1"/>
  <c r="AJ257" i="31"/>
  <c r="AJ258" i="31" s="1"/>
  <c r="AJ252" i="31"/>
  <c r="AJ263" i="31"/>
  <c r="AJ264" i="31" s="1"/>
  <c r="AN133" i="1"/>
  <c r="AN174" i="1"/>
  <c r="AN130" i="1"/>
  <c r="AN47" i="1"/>
  <c r="AN108" i="1"/>
  <c r="AM108" i="1"/>
  <c r="AM114" i="1"/>
  <c r="AM44" i="1"/>
  <c r="AM133" i="1"/>
  <c r="AM94" i="1"/>
  <c r="AM130" i="1"/>
  <c r="AM47" i="1"/>
  <c r="AK40" i="7"/>
  <c r="G47" i="33"/>
  <c r="G45" i="33" s="1"/>
  <c r="K7" i="29"/>
  <c r="AN7" i="11"/>
  <c r="H7" i="30"/>
  <c r="H14" i="30" s="1"/>
  <c r="H16" i="30" s="1"/>
  <c r="H4" i="29"/>
  <c r="H28" i="29" s="1"/>
  <c r="H30" i="29" s="1"/>
  <c r="H35" i="29" s="1"/>
  <c r="AM7" i="11"/>
  <c r="J7" i="29"/>
  <c r="AM182" i="1"/>
  <c r="AM183" i="1" s="1"/>
  <c r="AM8" i="16" s="1"/>
  <c r="AM175" i="1"/>
  <c r="AM7" i="16" s="1"/>
  <c r="K5" i="30"/>
  <c r="AO76" i="1"/>
  <c r="AO26" i="7" s="1"/>
  <c r="AO178" i="1" s="1"/>
  <c r="AO179" i="1" s="1"/>
  <c r="AO19" i="16" s="1"/>
  <c r="AO7" i="11" s="1"/>
  <c r="EB42" i="7"/>
  <c r="AL37" i="7"/>
  <c r="AL39" i="7"/>
  <c r="H47" i="33" s="1"/>
  <c r="H45" i="33" s="1"/>
  <c r="AK45" i="7"/>
  <c r="AK12" i="16"/>
  <c r="AL206" i="1"/>
  <c r="AL42" i="7" s="1"/>
  <c r="AN28" i="1"/>
  <c r="AN32" i="1" s="1"/>
  <c r="AN20" i="7" s="1"/>
  <c r="AN16" i="7"/>
  <c r="AM38" i="1"/>
  <c r="AM21" i="7"/>
  <c r="AM36" i="7" s="1"/>
  <c r="H8" i="30"/>
  <c r="AE8" i="11"/>
  <c r="AN13" i="7"/>
  <c r="AO6" i="7"/>
  <c r="AO10" i="7" s="1"/>
  <c r="AO3" i="7"/>
  <c r="AO174" i="1" s="1"/>
  <c r="AF24" i="12"/>
  <c r="Z7" i="11"/>
  <c r="AO108" i="1"/>
  <c r="AO125" i="1"/>
  <c r="AO114" i="1"/>
  <c r="AO122" i="1"/>
  <c r="AO94" i="1"/>
  <c r="AO111" i="1"/>
  <c r="AO44" i="1"/>
  <c r="AO41" i="1"/>
  <c r="AO133" i="1"/>
  <c r="F8" i="29"/>
  <c r="AB173" i="1"/>
  <c r="AC175" i="1"/>
  <c r="AC7" i="16" s="1"/>
  <c r="AD5" i="11" s="1"/>
  <c r="AC183" i="1"/>
  <c r="AC8" i="16" s="1"/>
  <c r="AD6" i="11" s="1"/>
  <c r="X179" i="1"/>
  <c r="X19" i="16" s="1"/>
  <c r="Y6" i="12"/>
  <c r="Y17" i="12"/>
  <c r="AN189" i="1"/>
  <c r="AN190" i="1" s="1"/>
  <c r="AN14" i="11" s="1"/>
  <c r="AN37" i="1"/>
  <c r="AN202" i="1"/>
  <c r="AO202" i="1"/>
  <c r="AM202" i="1"/>
  <c r="AO35" i="1"/>
  <c r="AO10" i="1"/>
  <c r="AG22" i="25"/>
  <c r="AF22" i="25"/>
  <c r="G8" i="30"/>
  <c r="G14" i="30"/>
  <c r="G16" i="30" s="1"/>
  <c r="AE22" i="25"/>
  <c r="EB45" i="7"/>
  <c r="G8" i="29"/>
  <c r="G28" i="29"/>
  <c r="G30" i="29" s="1"/>
  <c r="G35" i="29" s="1"/>
  <c r="AJ371" i="31" l="1"/>
  <c r="AJ372" i="31" s="1"/>
  <c r="AJ365" i="31"/>
  <c r="AJ366" i="31" s="1"/>
  <c r="AJ360" i="31"/>
  <c r="AO47" i="1"/>
  <c r="AO130" i="1"/>
  <c r="AO50" i="1"/>
  <c r="AN182" i="1"/>
  <c r="AN183" i="1" s="1"/>
  <c r="AN8" i="16" s="1"/>
  <c r="AN6" i="11" s="1"/>
  <c r="AN175" i="1"/>
  <c r="AN7" i="16" s="1"/>
  <c r="K5" i="29" s="1"/>
  <c r="AJ428" i="31"/>
  <c r="AH463" i="31"/>
  <c r="AH465" i="31" s="1"/>
  <c r="AH23" i="31"/>
  <c r="AJ185" i="31"/>
  <c r="AG27" i="31"/>
  <c r="AG436" i="31" s="1"/>
  <c r="AG452" i="31" s="1"/>
  <c r="AG456" i="31"/>
  <c r="AG457" i="31" s="1"/>
  <c r="AJ203" i="31"/>
  <c r="AJ204" i="31" s="1"/>
  <c r="AJ198" i="31"/>
  <c r="AJ209" i="31"/>
  <c r="AJ210" i="31" s="1"/>
  <c r="AJ351" i="31"/>
  <c r="AJ448" i="31" s="1"/>
  <c r="AI378" i="31"/>
  <c r="AI449" i="31" s="1"/>
  <c r="AI270" i="31"/>
  <c r="AI445" i="31" s="1"/>
  <c r="AJ50" i="31"/>
  <c r="AJ266" i="31"/>
  <c r="AI212" i="31"/>
  <c r="AI216" i="31" s="1"/>
  <c r="AI443" i="31" s="1"/>
  <c r="AI14" i="31"/>
  <c r="AI15" i="31" s="1"/>
  <c r="AI9" i="31"/>
  <c r="AI20" i="31"/>
  <c r="AI21" i="31" s="1"/>
  <c r="AJ8" i="31"/>
  <c r="AJ160" i="31"/>
  <c r="AJ162" i="31" s="1"/>
  <c r="AJ441" i="31" s="1"/>
  <c r="AJ376" i="31"/>
  <c r="AJ187" i="31"/>
  <c r="AJ322" i="31"/>
  <c r="AJ324" i="31" s="1"/>
  <c r="AJ447" i="31" s="1"/>
  <c r="AJ133" i="31"/>
  <c r="AJ135" i="31" s="1"/>
  <c r="AJ440" i="31" s="1"/>
  <c r="AJ295" i="31"/>
  <c r="AJ297" i="31" s="1"/>
  <c r="AJ446" i="31" s="1"/>
  <c r="AJ79" i="31"/>
  <c r="AJ81" i="31" s="1"/>
  <c r="AJ438" i="31" s="1"/>
  <c r="AJ106" i="31"/>
  <c r="AJ108" i="31" s="1"/>
  <c r="AJ439" i="31" s="1"/>
  <c r="AJ268" i="31"/>
  <c r="AJ52" i="31"/>
  <c r="AJ241" i="31"/>
  <c r="AJ243" i="31" s="1"/>
  <c r="AJ444" i="31" s="1"/>
  <c r="AJ430" i="31"/>
  <c r="AJ214" i="31"/>
  <c r="AJ403" i="31"/>
  <c r="AJ405" i="31" s="1"/>
  <c r="AJ450" i="31" s="1"/>
  <c r="AJ349" i="31"/>
  <c r="AO77" i="1"/>
  <c r="H8" i="29"/>
  <c r="AM6" i="11"/>
  <c r="J6" i="29"/>
  <c r="AM5" i="11"/>
  <c r="J5" i="29"/>
  <c r="K6" i="29"/>
  <c r="AL45" i="7"/>
  <c r="AM37" i="7"/>
  <c r="AM39" i="7"/>
  <c r="AN38" i="1"/>
  <c r="AN21" i="7"/>
  <c r="AN36" i="7" s="1"/>
  <c r="AL12" i="16"/>
  <c r="AL4" i="11"/>
  <c r="AL8" i="11" s="1"/>
  <c r="I7" i="30"/>
  <c r="I4" i="29"/>
  <c r="AL40" i="7"/>
  <c r="AO28" i="1"/>
  <c r="AO32" i="1" s="1"/>
  <c r="AO20" i="7" s="1"/>
  <c r="AO16" i="7"/>
  <c r="AM206" i="1"/>
  <c r="AM42" i="7" s="1"/>
  <c r="AM45" i="7" s="1"/>
  <c r="AO182" i="1"/>
  <c r="AO183" i="1" s="1"/>
  <c r="AO8" i="16" s="1"/>
  <c r="AO6" i="11" s="1"/>
  <c r="AO175" i="1"/>
  <c r="AO7" i="16" s="1"/>
  <c r="AD8" i="11"/>
  <c r="AO12" i="7"/>
  <c r="L4" i="30"/>
  <c r="L5" i="30" s="1"/>
  <c r="Y7" i="11"/>
  <c r="W179" i="1"/>
  <c r="W19" i="16" s="1"/>
  <c r="AB183" i="1"/>
  <c r="AB8" i="16" s="1"/>
  <c r="AC6" i="11" s="1"/>
  <c r="AA173" i="1"/>
  <c r="AB175" i="1"/>
  <c r="AB7" i="16" s="1"/>
  <c r="AC5" i="11" s="1"/>
  <c r="X6" i="12"/>
  <c r="X17" i="12"/>
  <c r="W6" i="12"/>
  <c r="E6" i="29"/>
  <c r="AH6" i="11"/>
  <c r="AG8" i="16"/>
  <c r="AH5" i="11"/>
  <c r="AH8" i="11" s="1"/>
  <c r="AG7" i="16"/>
  <c r="AI8" i="11" s="1"/>
  <c r="E5" i="29"/>
  <c r="AF36" i="25"/>
  <c r="AO189" i="1"/>
  <c r="AO190" i="1" s="1"/>
  <c r="AO37" i="1"/>
  <c r="AN203" i="1"/>
  <c r="AO203" i="1"/>
  <c r="L7" i="29"/>
  <c r="AJ212" i="31" l="1"/>
  <c r="AJ216" i="31" s="1"/>
  <c r="AJ443" i="31" s="1"/>
  <c r="AN5" i="11"/>
  <c r="AO5" i="11"/>
  <c r="AJ9" i="31"/>
  <c r="AJ20" i="31"/>
  <c r="AJ21" i="31" s="1"/>
  <c r="AJ14" i="31"/>
  <c r="AJ15" i="31" s="1"/>
  <c r="AJ189" i="31"/>
  <c r="AJ442" i="31" s="1"/>
  <c r="AJ432" i="31"/>
  <c r="AJ451" i="31" s="1"/>
  <c r="AJ374" i="31"/>
  <c r="AJ378" i="31" s="1"/>
  <c r="AJ449" i="31" s="1"/>
  <c r="AH27" i="31"/>
  <c r="AH436" i="31" s="1"/>
  <c r="AH452" i="31" s="1"/>
  <c r="AH456" i="31"/>
  <c r="AH457" i="31" s="1"/>
  <c r="AJ270" i="31"/>
  <c r="AJ445" i="31" s="1"/>
  <c r="AI463" i="31"/>
  <c r="AI465" i="31" s="1"/>
  <c r="AI23" i="31"/>
  <c r="AJ54" i="31"/>
  <c r="AJ437" i="31" s="1"/>
  <c r="AO38" i="1"/>
  <c r="AO21" i="7"/>
  <c r="AO36" i="7" s="1"/>
  <c r="AO37" i="7" s="1"/>
  <c r="I8" i="30"/>
  <c r="I14" i="30"/>
  <c r="I16" i="30" s="1"/>
  <c r="AM12" i="16"/>
  <c r="L6" i="29"/>
  <c r="AN206" i="1"/>
  <c r="AN42" i="7" s="1"/>
  <c r="AO204" i="1"/>
  <c r="AO206" i="1" s="1"/>
  <c r="AO14" i="11"/>
  <c r="AN37" i="7"/>
  <c r="AN39" i="7"/>
  <c r="I28" i="29"/>
  <c r="I30" i="29" s="1"/>
  <c r="I8" i="29"/>
  <c r="AM4" i="11"/>
  <c r="AM8" i="11" s="1"/>
  <c r="AM40" i="7"/>
  <c r="J7" i="30"/>
  <c r="J4" i="29"/>
  <c r="AO13" i="7"/>
  <c r="L5" i="29"/>
  <c r="AC8" i="11"/>
  <c r="X7" i="11"/>
  <c r="E8" i="29"/>
  <c r="AE36" i="25"/>
  <c r="AG36" i="25"/>
  <c r="AF38" i="25"/>
  <c r="AG38" i="25"/>
  <c r="AB18" i="12"/>
  <c r="AB7" i="12"/>
  <c r="AB19" i="12"/>
  <c r="AB8" i="12"/>
  <c r="V179" i="1"/>
  <c r="V19" i="16" s="1"/>
  <c r="W7" i="11" s="1"/>
  <c r="Z173" i="1"/>
  <c r="AA175" i="1"/>
  <c r="AA7" i="16" s="1"/>
  <c r="AB5" i="11" s="1"/>
  <c r="AA183" i="1"/>
  <c r="AA8" i="16" s="1"/>
  <c r="AB6" i="11" s="1"/>
  <c r="W17" i="12"/>
  <c r="AO42" i="7"/>
  <c r="AI27" i="31" l="1"/>
  <c r="AI436" i="31" s="1"/>
  <c r="AI452" i="31" s="1"/>
  <c r="AI456" i="31"/>
  <c r="AI457" i="31" s="1"/>
  <c r="AJ463" i="31"/>
  <c r="AJ465" i="31" s="1"/>
  <c r="AJ23" i="31"/>
  <c r="AN45" i="7"/>
  <c r="AO39" i="7"/>
  <c r="AO40" i="7" s="1"/>
  <c r="AB8" i="11"/>
  <c r="J8" i="29"/>
  <c r="J28" i="29"/>
  <c r="J30" i="29" s="1"/>
  <c r="AN4" i="11"/>
  <c r="AN8" i="11" s="1"/>
  <c r="K7" i="30"/>
  <c r="K4" i="29"/>
  <c r="AN40" i="7"/>
  <c r="J14" i="30"/>
  <c r="J16" i="30" s="1"/>
  <c r="J8" i="30"/>
  <c r="AN12" i="16"/>
  <c r="AO12" i="16" s="1"/>
  <c r="U6" i="12"/>
  <c r="U19" i="16"/>
  <c r="U17" i="12"/>
  <c r="AB24" i="12"/>
  <c r="AD38" i="25"/>
  <c r="AA8" i="12"/>
  <c r="AD36" i="25"/>
  <c r="AA7" i="12"/>
  <c r="AA19" i="12"/>
  <c r="AA18" i="12"/>
  <c r="Z183" i="1"/>
  <c r="Z8" i="16" s="1"/>
  <c r="AA6" i="11" s="1"/>
  <c r="Y173" i="1"/>
  <c r="Z175" i="1"/>
  <c r="Z7" i="16" s="1"/>
  <c r="AA5" i="11" s="1"/>
  <c r="V6" i="12"/>
  <c r="V17" i="12"/>
  <c r="S6" i="12"/>
  <c r="T6" i="12"/>
  <c r="T17" i="12"/>
  <c r="AJ27" i="31" l="1"/>
  <c r="AJ436" i="31" s="1"/>
  <c r="AJ452" i="31" s="1"/>
  <c r="AJ456" i="31"/>
  <c r="AJ457" i="31" s="1"/>
  <c r="AO4" i="11"/>
  <c r="AO8" i="11" s="1"/>
  <c r="L7" i="30"/>
  <c r="L4" i="29"/>
  <c r="AO45" i="7"/>
  <c r="K8" i="30"/>
  <c r="K14" i="30"/>
  <c r="K16" i="30" s="1"/>
  <c r="K8" i="29"/>
  <c r="K28" i="29"/>
  <c r="K30" i="29" s="1"/>
  <c r="AA8" i="11"/>
  <c r="U7" i="11"/>
  <c r="V7" i="11"/>
  <c r="AA24" i="12"/>
  <c r="Z18" i="12"/>
  <c r="AC36" i="25"/>
  <c r="Z7" i="12"/>
  <c r="AC38" i="25"/>
  <c r="Z8" i="12"/>
  <c r="Z19" i="12"/>
  <c r="X173" i="1"/>
  <c r="Y175" i="1"/>
  <c r="Y7" i="16" s="1"/>
  <c r="Z5" i="11" s="1"/>
  <c r="Y183" i="1"/>
  <c r="Y8" i="16" s="1"/>
  <c r="Z6" i="11" s="1"/>
  <c r="Q6" i="12"/>
  <c r="U21" i="16"/>
  <c r="U24" i="16" s="1"/>
  <c r="R17" i="12"/>
  <c r="Q17" i="12"/>
  <c r="R6" i="12"/>
  <c r="S17" i="12"/>
  <c r="L14" i="30" l="1"/>
  <c r="L16" i="30" s="1"/>
  <c r="L8" i="30"/>
  <c r="L8" i="29"/>
  <c r="L28" i="29"/>
  <c r="L30" i="29" s="1"/>
  <c r="Z8" i="11"/>
  <c r="Z24" i="12"/>
  <c r="X183" i="1"/>
  <c r="X8" i="16" s="1"/>
  <c r="Y6" i="11" s="1"/>
  <c r="W173" i="1"/>
  <c r="X175" i="1"/>
  <c r="Y19" i="12"/>
  <c r="Y8" i="12"/>
  <c r="X19" i="12"/>
  <c r="Y7" i="12"/>
  <c r="Y18" i="12"/>
  <c r="Y24" i="12" s="1"/>
  <c r="AG7" i="11"/>
  <c r="D7" i="29" s="1"/>
  <c r="AC6" i="12"/>
  <c r="AC17" i="12"/>
  <c r="X18" i="12" l="1"/>
  <c r="X24" i="12" s="1"/>
  <c r="X7" i="16"/>
  <c r="Y5" i="11" s="1"/>
  <c r="Y8" i="11" s="1"/>
  <c r="X7" i="12"/>
  <c r="X8" i="12"/>
  <c r="V173" i="1"/>
  <c r="W175" i="1"/>
  <c r="W7" i="16" s="1"/>
  <c r="W183" i="1"/>
  <c r="X5" i="11" l="1"/>
  <c r="W19" i="12"/>
  <c r="W8" i="16"/>
  <c r="X6" i="11" s="1"/>
  <c r="W8" i="12"/>
  <c r="W7" i="12"/>
  <c r="W18" i="12"/>
  <c r="U173" i="1"/>
  <c r="V175" i="1"/>
  <c r="V7" i="16" s="1"/>
  <c r="W5" i="11" s="1"/>
  <c r="X8" i="11" l="1"/>
  <c r="V19" i="12"/>
  <c r="V8" i="16"/>
  <c r="S8" i="12" s="1"/>
  <c r="W24" i="12"/>
  <c r="S173" i="1"/>
  <c r="R173" i="1" s="1"/>
  <c r="U175" i="1"/>
  <c r="U7" i="16" s="1"/>
  <c r="V5" i="11" s="1"/>
  <c r="U183" i="1"/>
  <c r="U8" i="16" s="1"/>
  <c r="V6" i="11" s="1"/>
  <c r="V18" i="12"/>
  <c r="V7" i="12"/>
  <c r="U18" i="12"/>
  <c r="V8" i="12"/>
  <c r="S18" i="12"/>
  <c r="S7" i="12"/>
  <c r="V8" i="11" l="1"/>
  <c r="V24" i="12"/>
  <c r="W6" i="11"/>
  <c r="W8" i="11" s="1"/>
  <c r="S19" i="12"/>
  <c r="S24" i="12" s="1"/>
  <c r="R183" i="1"/>
  <c r="Q173" i="1"/>
  <c r="R175" i="1"/>
  <c r="U19" i="12"/>
  <c r="U24" i="12" s="1"/>
  <c r="U8" i="12"/>
  <c r="T19" i="12"/>
  <c r="T8" i="12"/>
  <c r="U7" i="12"/>
  <c r="T18" i="12"/>
  <c r="T7" i="12"/>
  <c r="R18" i="12" l="1"/>
  <c r="R7" i="16"/>
  <c r="S5" i="11" s="1"/>
  <c r="R19" i="12"/>
  <c r="R8" i="16"/>
  <c r="S6" i="11" s="1"/>
  <c r="R7" i="12"/>
  <c r="R8" i="12"/>
  <c r="T24" i="12"/>
  <c r="P173" i="1"/>
  <c r="Q175" i="1"/>
  <c r="Q7" i="16" s="1"/>
  <c r="Q183" i="1"/>
  <c r="Q8" i="16" s="1"/>
  <c r="R6" i="11" s="1"/>
  <c r="R5" i="11" l="1"/>
  <c r="S8" i="11"/>
  <c r="R24" i="12"/>
  <c r="R8" i="11"/>
  <c r="P183" i="1"/>
  <c r="P8" i="16" s="1"/>
  <c r="Q6" i="11" s="1"/>
  <c r="O173" i="1"/>
  <c r="P175" i="1"/>
  <c r="P7" i="16" s="1"/>
  <c r="Q5" i="11" s="1"/>
  <c r="T7" i="16" l="1"/>
  <c r="U5" i="11" s="1"/>
  <c r="T8" i="16"/>
  <c r="U6" i="11" s="1"/>
  <c r="AG6" i="11" s="1"/>
  <c r="D6" i="29" s="1"/>
  <c r="N173" i="1"/>
  <c r="O175" i="1"/>
  <c r="O183" i="1"/>
  <c r="O8" i="16" s="1"/>
  <c r="P6" i="11" s="1"/>
  <c r="N18" i="12" l="1"/>
  <c r="O7" i="16"/>
  <c r="P5" i="11" s="1"/>
  <c r="U8" i="11"/>
  <c r="N8" i="12"/>
  <c r="N7" i="12"/>
  <c r="N19" i="12"/>
  <c r="AD8" i="12"/>
  <c r="AD19" i="12"/>
  <c r="Q19" i="12"/>
  <c r="AC19" i="12" s="1"/>
  <c r="Q8" i="12"/>
  <c r="AC8" i="12" s="1"/>
  <c r="AG5" i="11"/>
  <c r="N183" i="1"/>
  <c r="N175" i="1"/>
  <c r="N7" i="16" s="1"/>
  <c r="M173" i="1"/>
  <c r="AD7" i="12"/>
  <c r="AD18" i="12"/>
  <c r="Q18" i="12"/>
  <c r="Q7" i="12"/>
  <c r="O5" i="11" l="1"/>
  <c r="N24" i="12"/>
  <c r="M19" i="12"/>
  <c r="N8" i="16"/>
  <c r="O6" i="11" s="1"/>
  <c r="AC7" i="12"/>
  <c r="M175" i="1"/>
  <c r="M7" i="16" s="1"/>
  <c r="N5" i="11" s="1"/>
  <c r="L173" i="1"/>
  <c r="M8" i="12"/>
  <c r="AG8" i="11"/>
  <c r="D5" i="29"/>
  <c r="D8" i="29" s="1"/>
  <c r="Q24" i="12"/>
  <c r="AC24" i="12" s="1"/>
  <c r="AC18" i="12"/>
  <c r="M18" i="12"/>
  <c r="M24" i="12" s="1"/>
  <c r="M7" i="12"/>
  <c r="M183" i="1"/>
  <c r="L19" i="12" l="1"/>
  <c r="M8" i="16"/>
  <c r="N6" i="11" s="1"/>
  <c r="L8" i="12"/>
  <c r="L175" i="1"/>
  <c r="L7" i="16" s="1"/>
  <c r="M5" i="11" s="1"/>
  <c r="K173" i="1"/>
  <c r="L183" i="1"/>
  <c r="L18" i="12"/>
  <c r="L7" i="12"/>
  <c r="K19" i="12" l="1"/>
  <c r="L8" i="16"/>
  <c r="M6" i="11" s="1"/>
  <c r="O38" i="25"/>
  <c r="K8" i="12"/>
  <c r="K18" i="12"/>
  <c r="O36" i="25"/>
  <c r="K7" i="12"/>
  <c r="K183" i="1"/>
  <c r="J173" i="1"/>
  <c r="K175" i="1"/>
  <c r="J18" i="12" l="1"/>
  <c r="K7" i="16"/>
  <c r="L5" i="11" s="1"/>
  <c r="J19" i="12"/>
  <c r="K8" i="16"/>
  <c r="L6" i="11" s="1"/>
  <c r="J7" i="12"/>
  <c r="J183" i="1"/>
  <c r="I173" i="1"/>
  <c r="J175" i="1"/>
  <c r="J7" i="16" s="1"/>
  <c r="J8" i="12"/>
  <c r="K5" i="11" l="1"/>
  <c r="I19" i="12"/>
  <c r="J8" i="16"/>
  <c r="I7" i="12"/>
  <c r="I18" i="12"/>
  <c r="H173" i="1"/>
  <c r="H175" i="1" s="1"/>
  <c r="H7" i="16" s="1"/>
  <c r="I175" i="1"/>
  <c r="H183" i="1"/>
  <c r="H8" i="16" s="1"/>
  <c r="I183" i="1"/>
  <c r="I8" i="16" s="1"/>
  <c r="I8" i="12"/>
  <c r="H18" i="12" l="1"/>
  <c r="I7" i="16"/>
  <c r="I5" i="11" s="1"/>
  <c r="H5" i="11"/>
  <c r="C7" i="12"/>
  <c r="C18" i="12"/>
  <c r="D7" i="12"/>
  <c r="J6" i="11"/>
  <c r="E8" i="12"/>
  <c r="K6" i="11"/>
  <c r="E19" i="12"/>
  <c r="H6" i="11"/>
  <c r="C19" i="12"/>
  <c r="D19" i="12"/>
  <c r="I6" i="11"/>
  <c r="D8" i="12"/>
  <c r="C8" i="12"/>
  <c r="G8" i="12"/>
  <c r="F8" i="12"/>
  <c r="F19" i="12"/>
  <c r="H19" i="12"/>
  <c r="H8" i="12"/>
  <c r="G19" i="12"/>
  <c r="G18" i="12"/>
  <c r="H7" i="12"/>
  <c r="F18" i="12"/>
  <c r="F7" i="12"/>
  <c r="G7" i="12"/>
  <c r="J5" i="11" l="1"/>
  <c r="D18" i="12"/>
  <c r="E7" i="12"/>
  <c r="E18" i="12"/>
  <c r="T6" i="11"/>
  <c r="C6" i="29" s="1"/>
  <c r="O8" i="12"/>
  <c r="O19" i="12"/>
  <c r="O18" i="12" l="1"/>
  <c r="T5" i="11"/>
  <c r="C5" i="29" s="1"/>
  <c r="O7" i="12"/>
  <c r="G10" i="7" l="1"/>
  <c r="G12" i="7" s="1"/>
  <c r="AG19" i="11"/>
  <c r="V20" i="16"/>
  <c r="V21" i="16" l="1"/>
  <c r="V24" i="16" s="1"/>
  <c r="V139" i="1"/>
  <c r="W20" i="16"/>
  <c r="W21" i="16" l="1"/>
  <c r="W24" i="16" s="1"/>
  <c r="W139" i="1"/>
  <c r="W141" i="1" s="1"/>
  <c r="W146" i="1" s="1"/>
  <c r="X20" i="16"/>
  <c r="V141" i="1"/>
  <c r="W46" i="7" l="1"/>
  <c r="W11" i="11"/>
  <c r="W12" i="11" s="1"/>
  <c r="X21" i="16"/>
  <c r="X24" i="16" s="1"/>
  <c r="X139" i="1"/>
  <c r="X141" i="1" s="1"/>
  <c r="X146" i="1" s="1"/>
  <c r="Y20" i="16"/>
  <c r="V146" i="1"/>
  <c r="V46" i="7" l="1"/>
  <c r="V11" i="11"/>
  <c r="Y21" i="16"/>
  <c r="Y24" i="16" s="1"/>
  <c r="Z20" i="16"/>
  <c r="Y139" i="1"/>
  <c r="W151" i="1"/>
  <c r="X11" i="11"/>
  <c r="X12" i="11" s="1"/>
  <c r="X46" i="7"/>
  <c r="X151" i="1" l="1"/>
  <c r="Y141" i="1"/>
  <c r="Z21" i="16"/>
  <c r="Z24" i="16" s="1"/>
  <c r="Z139" i="1"/>
  <c r="AA20" i="16"/>
  <c r="V12" i="11"/>
  <c r="V151" i="1"/>
  <c r="AA21" i="16" l="1"/>
  <c r="AA24" i="16" s="1"/>
  <c r="AA139" i="1"/>
  <c r="AA141" i="1" s="1"/>
  <c r="AA146" i="1" s="1"/>
  <c r="AB20" i="16"/>
  <c r="Y146" i="1"/>
  <c r="Z141" i="1"/>
  <c r="Z146" i="1" s="1"/>
  <c r="Y11" i="11" l="1"/>
  <c r="Y46" i="7"/>
  <c r="AB21" i="16"/>
  <c r="AB24" i="16" s="1"/>
  <c r="AB139" i="1"/>
  <c r="AC20" i="16"/>
  <c r="Z46" i="7"/>
  <c r="Z11" i="11"/>
  <c r="Z12" i="11" s="1"/>
  <c r="AB141" i="1"/>
  <c r="AB146" i="1" s="1"/>
  <c r="AA11" i="11"/>
  <c r="AA12" i="11" s="1"/>
  <c r="AA46" i="7"/>
  <c r="AC21" i="16" l="1"/>
  <c r="AC139" i="1"/>
  <c r="AC141" i="1" s="1"/>
  <c r="AC146" i="1" s="1"/>
  <c r="AD20" i="16"/>
  <c r="AA151" i="1"/>
  <c r="Z151" i="1"/>
  <c r="Y151" i="1"/>
  <c r="AB46" i="7"/>
  <c r="AB11" i="11"/>
  <c r="AB12" i="11" s="1"/>
  <c r="Y12" i="11"/>
  <c r="AC11" i="11" l="1"/>
  <c r="AC46" i="7"/>
  <c r="AD21" i="16"/>
  <c r="AD139" i="1"/>
  <c r="AD141" i="1" s="1"/>
  <c r="AD146" i="1" s="1"/>
  <c r="AE20" i="16"/>
  <c r="AB151" i="1"/>
  <c r="AC24" i="16"/>
  <c r="AC45" i="25" s="1"/>
  <c r="AD11" i="11" l="1"/>
  <c r="AD12" i="11" s="1"/>
  <c r="AD46" i="7"/>
  <c r="AD24" i="16"/>
  <c r="AD45" i="25" s="1"/>
  <c r="AC49" i="25"/>
  <c r="AC151" i="1"/>
  <c r="AE21" i="16"/>
  <c r="AE139" i="1"/>
  <c r="AF20" i="16"/>
  <c r="AC12" i="11"/>
  <c r="AF21" i="16" l="1"/>
  <c r="AF139" i="1"/>
  <c r="AF141" i="1" s="1"/>
  <c r="AG20" i="16"/>
  <c r="AH20" i="16" s="1"/>
  <c r="AE12" i="18"/>
  <c r="AE24" i="16"/>
  <c r="AE45" i="25" s="1"/>
  <c r="AD49" i="25"/>
  <c r="AD151" i="1"/>
  <c r="AE141" i="1"/>
  <c r="AE146" i="1" s="1"/>
  <c r="AE11" i="11" l="1"/>
  <c r="AE46" i="7"/>
  <c r="AF146" i="1"/>
  <c r="AG141" i="1"/>
  <c r="AG146" i="1" s="1"/>
  <c r="AG139" i="1"/>
  <c r="AH21" i="16"/>
  <c r="AH24" i="16" s="1"/>
  <c r="AH139" i="1"/>
  <c r="AI20" i="16"/>
  <c r="AI21" i="16" s="1"/>
  <c r="AF12" i="18"/>
  <c r="AF24" i="16"/>
  <c r="AF45" i="25" s="1"/>
  <c r="AG21" i="16"/>
  <c r="AG12" i="18" l="1"/>
  <c r="AG24" i="16"/>
  <c r="AG45" i="25" s="1"/>
  <c r="AI24" i="16"/>
  <c r="AI139" i="1"/>
  <c r="AI141" i="1" s="1"/>
  <c r="AI146" i="1" s="1"/>
  <c r="AJ20" i="16"/>
  <c r="AH141" i="1"/>
  <c r="AH146" i="1" s="1"/>
  <c r="AE49" i="25"/>
  <c r="AE151" i="1"/>
  <c r="AF11" i="11"/>
  <c r="AF12" i="11" s="1"/>
  <c r="AF46" i="7"/>
  <c r="AE12" i="11"/>
  <c r="AG11" i="11" l="1"/>
  <c r="AG12" i="11" s="1"/>
  <c r="AI46" i="7"/>
  <c r="AI11" i="11"/>
  <c r="AI12" i="11" s="1"/>
  <c r="AF151" i="1"/>
  <c r="AF49" i="25"/>
  <c r="AG46" i="7"/>
  <c r="AH11" i="11"/>
  <c r="AH12" i="11" s="1"/>
  <c r="AH46" i="7"/>
  <c r="AJ21" i="16"/>
  <c r="AJ24" i="16" s="1"/>
  <c r="AJ139" i="1"/>
  <c r="AJ141" i="1" s="1"/>
  <c r="AJ146" i="1" s="1"/>
  <c r="AK20" i="16"/>
  <c r="AK21" i="16" l="1"/>
  <c r="AK24" i="16" s="1"/>
  <c r="AK139" i="1"/>
  <c r="AK141" i="1" s="1"/>
  <c r="AK146" i="1" s="1"/>
  <c r="AL20" i="16"/>
  <c r="AG49" i="25"/>
  <c r="AG151" i="1"/>
  <c r="AJ11" i="11"/>
  <c r="AJ12" i="11" s="1"/>
  <c r="AJ46" i="7"/>
  <c r="AH151" i="1"/>
  <c r="DG46" i="7"/>
  <c r="AI151" i="1"/>
  <c r="DH46" i="7"/>
  <c r="EA46" i="7" s="1"/>
  <c r="AJ151" i="1" l="1"/>
  <c r="DI46" i="7"/>
  <c r="EB46" i="7" s="1"/>
  <c r="DZ46" i="7"/>
  <c r="AK46" i="7"/>
  <c r="AK11" i="11"/>
  <c r="AK12" i="11" s="1"/>
  <c r="AL21" i="16"/>
  <c r="AL24" i="16" s="1"/>
  <c r="AL139" i="1"/>
  <c r="AM20" i="16"/>
  <c r="AM21" i="16" l="1"/>
  <c r="AM24" i="16" s="1"/>
  <c r="AM139" i="1"/>
  <c r="AN20" i="16"/>
  <c r="AK151" i="1"/>
  <c r="AL141" i="1"/>
  <c r="AL146" i="1" s="1"/>
  <c r="AL46" i="7" l="1"/>
  <c r="AL11" i="11"/>
  <c r="AL12" i="11" s="1"/>
  <c r="AO20" i="16"/>
  <c r="AN21" i="16"/>
  <c r="AN24" i="16" s="1"/>
  <c r="AN139" i="1"/>
  <c r="AN141" i="1" s="1"/>
  <c r="AN146" i="1" s="1"/>
  <c r="AM141" i="1"/>
  <c r="AM146" i="1" s="1"/>
  <c r="AM46" i="7" l="1"/>
  <c r="AM11" i="11"/>
  <c r="AM12" i="11" s="1"/>
  <c r="AN46" i="7"/>
  <c r="AN11" i="11"/>
  <c r="AN12" i="11" s="1"/>
  <c r="AO139" i="1"/>
  <c r="AO141" i="1" s="1"/>
  <c r="AO146" i="1" s="1"/>
  <c r="AO21" i="16"/>
  <c r="AO24" i="16" s="1"/>
  <c r="AL151" i="1"/>
  <c r="AO46" i="7" l="1"/>
  <c r="AO11" i="11"/>
  <c r="AO12" i="11" s="1"/>
  <c r="AN151" i="1"/>
  <c r="AM151" i="1"/>
  <c r="AO151" i="1" l="1"/>
  <c r="E105" i="1"/>
  <c r="D105" i="1"/>
  <c r="F105" i="1"/>
  <c r="C105" i="1"/>
  <c r="H105" i="1"/>
  <c r="H107" i="1" s="1"/>
  <c r="D106" i="1"/>
  <c r="E106" i="1"/>
  <c r="F106" i="1"/>
  <c r="C106" i="1"/>
  <c r="F107" i="1" l="1"/>
  <c r="F28" i="7" s="1"/>
  <c r="F36" i="7" s="1"/>
  <c r="F39" i="7" s="1"/>
  <c r="E107" i="1"/>
  <c r="E28" i="7" s="1"/>
  <c r="C107" i="1"/>
  <c r="D107" i="1"/>
  <c r="D28" i="7" s="1"/>
  <c r="I105" i="1"/>
  <c r="I107" i="1" s="1"/>
  <c r="H28" i="7"/>
  <c r="H178" i="1" s="1"/>
  <c r="H179" i="1" s="1"/>
  <c r="H19" i="16" s="1"/>
  <c r="C28" i="7"/>
  <c r="C6" i="12" l="1"/>
  <c r="H21" i="16"/>
  <c r="H24" i="16" s="1"/>
  <c r="C17" i="12"/>
  <c r="F178" i="1"/>
  <c r="F179" i="1" s="1"/>
  <c r="F19" i="16" s="1"/>
  <c r="F21" i="16" s="1"/>
  <c r="E178" i="1"/>
  <c r="E179" i="1" s="1"/>
  <c r="E19" i="16" s="1"/>
  <c r="F7" i="11" s="1"/>
  <c r="E36" i="7"/>
  <c r="E39" i="7" s="1"/>
  <c r="E4" i="11" s="1"/>
  <c r="D36" i="7"/>
  <c r="D39" i="7" s="1"/>
  <c r="D45" i="7" s="1"/>
  <c r="D178" i="1"/>
  <c r="D179" i="1" s="1"/>
  <c r="D19" i="16" s="1"/>
  <c r="D21" i="16" s="1"/>
  <c r="D24" i="16" s="1"/>
  <c r="H36" i="7"/>
  <c r="H39" i="7" s="1"/>
  <c r="CS28" i="7"/>
  <c r="J105" i="1"/>
  <c r="J107" i="1" s="1"/>
  <c r="I28" i="7"/>
  <c r="I178" i="1" s="1"/>
  <c r="I179" i="1" s="1"/>
  <c r="I19" i="16" s="1"/>
  <c r="D17" i="12" s="1"/>
  <c r="D24" i="12" s="1"/>
  <c r="F45" i="7"/>
  <c r="F4" i="11"/>
  <c r="D4" i="11"/>
  <c r="E45" i="7"/>
  <c r="G28" i="7"/>
  <c r="C178" i="1"/>
  <c r="C36" i="7"/>
  <c r="I7" i="11" l="1"/>
  <c r="D6" i="12"/>
  <c r="I21" i="16"/>
  <c r="I24" i="16" s="1"/>
  <c r="C24" i="12"/>
  <c r="O24" i="12" s="1"/>
  <c r="G19" i="16"/>
  <c r="H7" i="11" s="1"/>
  <c r="E7" i="11"/>
  <c r="E8" i="11" s="1"/>
  <c r="E21" i="16"/>
  <c r="E24" i="16" s="1"/>
  <c r="I36" i="7"/>
  <c r="I39" i="7" s="1"/>
  <c r="CT28" i="7"/>
  <c r="H4" i="11"/>
  <c r="H45" i="7"/>
  <c r="DL39" i="7"/>
  <c r="DX39" i="7" s="1"/>
  <c r="K105" i="1"/>
  <c r="K107" i="1" s="1"/>
  <c r="J28" i="7"/>
  <c r="J178" i="1" s="1"/>
  <c r="J179" i="1" s="1"/>
  <c r="J19" i="16" s="1"/>
  <c r="DL28" i="7"/>
  <c r="CS36" i="7"/>
  <c r="F24" i="16"/>
  <c r="G21" i="16"/>
  <c r="G24" i="16" s="1"/>
  <c r="G36" i="7"/>
  <c r="C39" i="7"/>
  <c r="F151" i="1"/>
  <c r="H8" i="11"/>
  <c r="G178" i="1"/>
  <c r="G179" i="1" s="1"/>
  <c r="C179" i="1"/>
  <c r="C19" i="16" s="1"/>
  <c r="E151" i="1"/>
  <c r="D151" i="1"/>
  <c r="F8" i="11"/>
  <c r="J21" i="16" l="1"/>
  <c r="J24" i="16" s="1"/>
  <c r="J7" i="11"/>
  <c r="E17" i="12"/>
  <c r="E6" i="12"/>
  <c r="J36" i="7"/>
  <c r="J39" i="7" s="1"/>
  <c r="CU28" i="7"/>
  <c r="I4" i="11"/>
  <c r="I8" i="11" s="1"/>
  <c r="I45" i="7"/>
  <c r="DM39" i="7"/>
  <c r="DL36" i="7"/>
  <c r="L105" i="1"/>
  <c r="L107" i="1" s="1"/>
  <c r="K28" i="7"/>
  <c r="K178" i="1" s="1"/>
  <c r="K179" i="1" s="1"/>
  <c r="K19" i="16" s="1"/>
  <c r="DL45" i="7"/>
  <c r="DX45" i="7" s="1"/>
  <c r="H151" i="1"/>
  <c r="DM28" i="7"/>
  <c r="DM36" i="7" s="1"/>
  <c r="CT36" i="7"/>
  <c r="C7" i="11"/>
  <c r="C21" i="16"/>
  <c r="C24" i="16" s="1"/>
  <c r="D7" i="11"/>
  <c r="D8" i="11" s="1"/>
  <c r="G39" i="7"/>
  <c r="C45" i="7"/>
  <c r="C4" i="11"/>
  <c r="K21" i="16" l="1"/>
  <c r="K24" i="16" s="1"/>
  <c r="K7" i="11"/>
  <c r="F6" i="12"/>
  <c r="E24" i="12"/>
  <c r="F17" i="12"/>
  <c r="F24" i="12" s="1"/>
  <c r="CV28" i="7"/>
  <c r="K36" i="7"/>
  <c r="K39" i="7" s="1"/>
  <c r="M105" i="1"/>
  <c r="M107" i="1" s="1"/>
  <c r="L28" i="7"/>
  <c r="I151" i="1"/>
  <c r="DM45" i="7"/>
  <c r="DN28" i="7"/>
  <c r="CU36" i="7"/>
  <c r="J4" i="11"/>
  <c r="J8" i="11" s="1"/>
  <c r="J45" i="7"/>
  <c r="DN39" i="7"/>
  <c r="G45" i="7"/>
  <c r="C151" i="1"/>
  <c r="G7" i="11"/>
  <c r="G4" i="11"/>
  <c r="C8" i="11"/>
  <c r="L36" i="7" l="1"/>
  <c r="L178" i="1"/>
  <c r="L179" i="1" s="1"/>
  <c r="L19" i="16" s="1"/>
  <c r="CW28" i="7"/>
  <c r="L39" i="7"/>
  <c r="K4" i="11"/>
  <c r="K8" i="11" s="1"/>
  <c r="K45" i="7"/>
  <c r="DO39" i="7"/>
  <c r="DN45" i="7"/>
  <c r="J151" i="1"/>
  <c r="DN36" i="7"/>
  <c r="N105" i="1"/>
  <c r="N107" i="1" s="1"/>
  <c r="M28" i="7"/>
  <c r="M178" i="1" s="1"/>
  <c r="M179" i="1" s="1"/>
  <c r="M19" i="16" s="1"/>
  <c r="DO28" i="7"/>
  <c r="DO36" i="7" s="1"/>
  <c r="CV36" i="7"/>
  <c r="G8" i="11"/>
  <c r="G151" i="1"/>
  <c r="C154" i="1"/>
  <c r="M21" i="16" l="1"/>
  <c r="M24" i="16" s="1"/>
  <c r="M7" i="11"/>
  <c r="H6" i="12"/>
  <c r="L21" i="16"/>
  <c r="L24" i="16" s="1"/>
  <c r="L7" i="11"/>
  <c r="G6" i="12"/>
  <c r="H17" i="12"/>
  <c r="H24" i="12" s="1"/>
  <c r="G17" i="12"/>
  <c r="O105" i="1"/>
  <c r="O107" i="1" s="1"/>
  <c r="N28" i="7"/>
  <c r="N178" i="1" s="1"/>
  <c r="N179" i="1" s="1"/>
  <c r="N19" i="16" s="1"/>
  <c r="CX28" i="7"/>
  <c r="M36" i="7"/>
  <c r="M39" i="7" s="1"/>
  <c r="L4" i="11"/>
  <c r="L45" i="7"/>
  <c r="DP39" i="7"/>
  <c r="DO45" i="7"/>
  <c r="K151" i="1"/>
  <c r="DP28" i="7"/>
  <c r="DP36" i="7" s="1"/>
  <c r="CW36" i="7"/>
  <c r="C158" i="1"/>
  <c r="D153" i="1"/>
  <c r="N21" i="16" l="1"/>
  <c r="N24" i="16" s="1"/>
  <c r="N7" i="11"/>
  <c r="I6" i="12"/>
  <c r="G24" i="12"/>
  <c r="I17" i="12"/>
  <c r="I24" i="12" s="1"/>
  <c r="L151" i="1"/>
  <c r="DP45" i="7"/>
  <c r="DQ28" i="7"/>
  <c r="DQ36" i="7" s="1"/>
  <c r="CX36" i="7"/>
  <c r="P105" i="1"/>
  <c r="O28" i="7"/>
  <c r="O178" i="1" s="1"/>
  <c r="O179" i="1" s="1"/>
  <c r="O19" i="16" s="1"/>
  <c r="L8" i="11"/>
  <c r="M4" i="11"/>
  <c r="M8" i="11" s="1"/>
  <c r="M45" i="7"/>
  <c r="DQ39" i="7"/>
  <c r="CY28" i="7"/>
  <c r="N36" i="7"/>
  <c r="N39" i="7" s="1"/>
  <c r="C47" i="7"/>
  <c r="C49" i="7" s="1"/>
  <c r="C16" i="11"/>
  <c r="C159" i="1"/>
  <c r="D154" i="1"/>
  <c r="O21" i="16" l="1"/>
  <c r="O7" i="11"/>
  <c r="O39" i="25"/>
  <c r="J6" i="12"/>
  <c r="J17" i="12"/>
  <c r="P107" i="1"/>
  <c r="P28" i="7" s="1"/>
  <c r="P178" i="1" s="1"/>
  <c r="P179" i="1" s="1"/>
  <c r="P19" i="16" s="1"/>
  <c r="B7" i="32"/>
  <c r="DR28" i="7"/>
  <c r="DR36" i="7" s="1"/>
  <c r="CY36" i="7"/>
  <c r="DQ45" i="7"/>
  <c r="M151" i="1"/>
  <c r="N4" i="11"/>
  <c r="N8" i="11" s="1"/>
  <c r="N45" i="7"/>
  <c r="DR39" i="7"/>
  <c r="CZ28" i="7"/>
  <c r="O36" i="7"/>
  <c r="O39" i="7" s="1"/>
  <c r="C162" i="1"/>
  <c r="C4" i="12"/>
  <c r="D158" i="1"/>
  <c r="E153" i="1"/>
  <c r="J24" i="12" l="1"/>
  <c r="Q7" i="11"/>
  <c r="P21" i="16"/>
  <c r="P24" i="16" s="1"/>
  <c r="P7" i="11"/>
  <c r="L17" i="12"/>
  <c r="L24" i="12" s="1"/>
  <c r="L6" i="12"/>
  <c r="K6" i="12"/>
  <c r="O24" i="16"/>
  <c r="O45" i="25" s="1"/>
  <c r="O12" i="18"/>
  <c r="K17" i="12"/>
  <c r="K24" i="12" s="1"/>
  <c r="T28" i="7"/>
  <c r="P36" i="7"/>
  <c r="P39" i="7" s="1"/>
  <c r="P4" i="11" s="1"/>
  <c r="DA28" i="7"/>
  <c r="DA36" i="7" s="1"/>
  <c r="DR45" i="7"/>
  <c r="N151" i="1"/>
  <c r="DS28" i="7"/>
  <c r="DS36" i="7" s="1"/>
  <c r="CZ36" i="7"/>
  <c r="DT28" i="7"/>
  <c r="O4" i="11"/>
  <c r="O8" i="11" s="1"/>
  <c r="O45" i="7"/>
  <c r="DS39" i="7"/>
  <c r="DE28" i="7"/>
  <c r="DE36" i="7" s="1"/>
  <c r="D16" i="11"/>
  <c r="D47" i="7"/>
  <c r="D49" i="7" s="1"/>
  <c r="D159" i="1"/>
  <c r="C13" i="12"/>
  <c r="C164" i="1"/>
  <c r="E154" i="1"/>
  <c r="P45" i="7" l="1"/>
  <c r="Q8" i="11"/>
  <c r="T7" i="11"/>
  <c r="C7" i="29" s="1"/>
  <c r="O17" i="12"/>
  <c r="O6" i="12"/>
  <c r="DT39" i="7"/>
  <c r="B13" i="32"/>
  <c r="T36" i="7"/>
  <c r="T39" i="7" s="1"/>
  <c r="DT36" i="7"/>
  <c r="DX28" i="7"/>
  <c r="DX36" i="7" s="1"/>
  <c r="P8" i="11"/>
  <c r="T4" i="11"/>
  <c r="O151" i="1"/>
  <c r="DS45" i="7"/>
  <c r="P151" i="1"/>
  <c r="DT45" i="7"/>
  <c r="E158" i="1"/>
  <c r="F153" i="1"/>
  <c r="C24" i="11"/>
  <c r="C167" i="1"/>
  <c r="O13" i="12"/>
  <c r="O26" i="12" s="1"/>
  <c r="C26" i="12"/>
  <c r="C27" i="12" s="1"/>
  <c r="D162" i="1"/>
  <c r="D4" i="12"/>
  <c r="T8" i="11" l="1"/>
  <c r="B39" i="32"/>
  <c r="B47" i="32" s="1"/>
  <c r="B31" i="9"/>
  <c r="B2" i="9"/>
  <c r="B4" i="9" s="1"/>
  <c r="B28" i="9"/>
  <c r="C4" i="29"/>
  <c r="C8" i="29" s="1"/>
  <c r="C7" i="30"/>
  <c r="T45" i="7"/>
  <c r="T151" i="1" s="1"/>
  <c r="C25" i="11"/>
  <c r="C27" i="16"/>
  <c r="E16" i="11"/>
  <c r="E159" i="1"/>
  <c r="E47" i="7"/>
  <c r="E49" i="7" s="1"/>
  <c r="D13" i="12"/>
  <c r="D26" i="12" s="1"/>
  <c r="D27" i="12" s="1"/>
  <c r="F154" i="1"/>
  <c r="G153" i="1"/>
  <c r="D164" i="1"/>
  <c r="B29" i="9" l="1"/>
  <c r="A28" i="9"/>
  <c r="C28" i="16"/>
  <c r="C29" i="16" s="1"/>
  <c r="D24" i="11"/>
  <c r="D167" i="1"/>
  <c r="E162" i="1"/>
  <c r="E4" i="12"/>
  <c r="C27" i="11"/>
  <c r="C30" i="11" s="1"/>
  <c r="F158" i="1"/>
  <c r="G154" i="1"/>
  <c r="H153" i="1" s="1"/>
  <c r="H154" i="1" s="1"/>
  <c r="B37" i="9" l="1"/>
  <c r="B9" i="9" s="1"/>
  <c r="B10" i="9" s="1"/>
  <c r="B32" i="9"/>
  <c r="B35" i="9" s="1"/>
  <c r="H158" i="1"/>
  <c r="I153" i="1"/>
  <c r="I154" i="1" s="1"/>
  <c r="C6" i="16"/>
  <c r="C9" i="16" s="1"/>
  <c r="C14" i="16" s="1"/>
  <c r="C31" i="16" s="1"/>
  <c r="D29" i="11"/>
  <c r="E164" i="1"/>
  <c r="D25" i="11"/>
  <c r="F159" i="1"/>
  <c r="F47" i="7"/>
  <c r="F49" i="7" s="1"/>
  <c r="F16" i="11"/>
  <c r="G158" i="1"/>
  <c r="E13" i="12"/>
  <c r="E26" i="12" s="1"/>
  <c r="E27" i="12" s="1"/>
  <c r="D27" i="16"/>
  <c r="G16" i="11" l="1"/>
  <c r="I158" i="1"/>
  <c r="J153" i="1"/>
  <c r="J154" i="1" s="1"/>
  <c r="D28" i="16"/>
  <c r="D29" i="16" s="1"/>
  <c r="G47" i="7"/>
  <c r="G159" i="1"/>
  <c r="F162" i="1"/>
  <c r="F4" i="12"/>
  <c r="G49" i="7"/>
  <c r="G4" i="12" s="1"/>
  <c r="G13" i="12" s="1"/>
  <c r="G26" i="12" s="1"/>
  <c r="D27" i="11"/>
  <c r="D30" i="11" s="1"/>
  <c r="E24" i="11"/>
  <c r="E27" i="16" s="1"/>
  <c r="E167" i="1"/>
  <c r="H159" i="1"/>
  <c r="H16" i="11"/>
  <c r="H47" i="7"/>
  <c r="F164" i="1" l="1"/>
  <c r="G162" i="1"/>
  <c r="J158" i="1"/>
  <c r="K153" i="1"/>
  <c r="K154" i="1" s="1"/>
  <c r="D6" i="16"/>
  <c r="D9" i="16" s="1"/>
  <c r="D14" i="16" s="1"/>
  <c r="D31" i="16" s="1"/>
  <c r="E29" i="11"/>
  <c r="CS47" i="7"/>
  <c r="H49" i="7"/>
  <c r="E25" i="11"/>
  <c r="F13" i="12"/>
  <c r="F26" i="12" s="1"/>
  <c r="F27" i="12" s="1"/>
  <c r="G27" i="12" s="1"/>
  <c r="I159" i="1"/>
  <c r="I16" i="11"/>
  <c r="I47" i="7"/>
  <c r="E28" i="16"/>
  <c r="E29" i="16" s="1"/>
  <c r="E27" i="11" l="1"/>
  <c r="E30" i="11" s="1"/>
  <c r="CS49" i="7"/>
  <c r="DL47" i="7"/>
  <c r="J159" i="1"/>
  <c r="J16" i="11"/>
  <c r="J47" i="7"/>
  <c r="F24" i="11"/>
  <c r="F167" i="1"/>
  <c r="G164" i="1"/>
  <c r="CT47" i="7"/>
  <c r="CT49" i="7" s="1"/>
  <c r="I49" i="7"/>
  <c r="H4" i="12"/>
  <c r="H162" i="1"/>
  <c r="K158" i="1"/>
  <c r="L153" i="1"/>
  <c r="L154" i="1" s="1"/>
  <c r="DM49" i="7" l="1"/>
  <c r="L158" i="1"/>
  <c r="M153" i="1"/>
  <c r="M154" i="1" s="1"/>
  <c r="H164" i="1"/>
  <c r="G167" i="1"/>
  <c r="DL49" i="7"/>
  <c r="DX49" i="7" s="1"/>
  <c r="DE49" i="7"/>
  <c r="K16" i="11"/>
  <c r="K159" i="1"/>
  <c r="K47" i="7"/>
  <c r="I4" i="12"/>
  <c r="I13" i="12" s="1"/>
  <c r="I26" i="12" s="1"/>
  <c r="I162" i="1"/>
  <c r="I164" i="1" s="1"/>
  <c r="DM47" i="7"/>
  <c r="F25" i="11"/>
  <c r="G24" i="11"/>
  <c r="F27" i="16"/>
  <c r="J49" i="7"/>
  <c r="CU47" i="7"/>
  <c r="CU49" i="7" s="1"/>
  <c r="E6" i="16"/>
  <c r="E9" i="16" s="1"/>
  <c r="E14" i="16" s="1"/>
  <c r="E31" i="16" s="1"/>
  <c r="F29" i="11"/>
  <c r="H13" i="12"/>
  <c r="H26" i="12" s="1"/>
  <c r="H27" i="12" s="1"/>
  <c r="I27" i="12" l="1"/>
  <c r="J162" i="1"/>
  <c r="J164" i="1" s="1"/>
  <c r="J4" i="12"/>
  <c r="J13" i="12" s="1"/>
  <c r="J26" i="12" s="1"/>
  <c r="J27" i="12" s="1"/>
  <c r="F27" i="11"/>
  <c r="F30" i="11" s="1"/>
  <c r="G25" i="11"/>
  <c r="G27" i="11" s="1"/>
  <c r="I167" i="1"/>
  <c r="I169" i="1" s="1"/>
  <c r="I24" i="11"/>
  <c r="I25" i="11" s="1"/>
  <c r="I27" i="11" s="1"/>
  <c r="CV47" i="7"/>
  <c r="DO47" i="7" s="1"/>
  <c r="K49" i="7"/>
  <c r="DN49" i="7"/>
  <c r="DN47" i="7"/>
  <c r="H24" i="11"/>
  <c r="H167" i="1"/>
  <c r="M158" i="1"/>
  <c r="N153" i="1"/>
  <c r="N154" i="1" s="1"/>
  <c r="F28" i="16"/>
  <c r="F29" i="16" s="1"/>
  <c r="G27" i="16"/>
  <c r="L159" i="1"/>
  <c r="L16" i="11"/>
  <c r="L47" i="7"/>
  <c r="G30" i="11" l="1"/>
  <c r="F6" i="16"/>
  <c r="H29" i="11"/>
  <c r="K4" i="12"/>
  <c r="K13" i="12" s="1"/>
  <c r="K26" i="12" s="1"/>
  <c r="K27" i="12" s="1"/>
  <c r="K162" i="1"/>
  <c r="CW47" i="7"/>
  <c r="CW49" i="7" s="1"/>
  <c r="L49" i="7"/>
  <c r="H27" i="16"/>
  <c r="G28" i="16"/>
  <c r="G29" i="16" s="1"/>
  <c r="N158" i="1"/>
  <c r="O153" i="1"/>
  <c r="O154" i="1" s="1"/>
  <c r="H169" i="1"/>
  <c r="CV49" i="7"/>
  <c r="DO49" i="7" s="1"/>
  <c r="J167" i="1"/>
  <c r="J169" i="1" s="1"/>
  <c r="J24" i="11"/>
  <c r="J25" i="11" s="1"/>
  <c r="J27" i="11" s="1"/>
  <c r="M159" i="1"/>
  <c r="M16" i="11"/>
  <c r="M47" i="7"/>
  <c r="H25" i="11"/>
  <c r="H27" i="11" s="1"/>
  <c r="DP47" i="7" l="1"/>
  <c r="CX47" i="7"/>
  <c r="M49" i="7"/>
  <c r="O158" i="1"/>
  <c r="P153" i="1"/>
  <c r="P154" i="1" s="1"/>
  <c r="N159" i="1"/>
  <c r="N16" i="11"/>
  <c r="N47" i="7"/>
  <c r="H28" i="16"/>
  <c r="H29" i="16" s="1"/>
  <c r="I27" i="16"/>
  <c r="DP49" i="7"/>
  <c r="K164" i="1"/>
  <c r="F9" i="16"/>
  <c r="F14" i="16" s="1"/>
  <c r="F31" i="16" s="1"/>
  <c r="G6" i="16"/>
  <c r="G9" i="16" s="1"/>
  <c r="G14" i="16" s="1"/>
  <c r="G31" i="16" s="1"/>
  <c r="L4" i="12"/>
  <c r="L13" i="12" s="1"/>
  <c r="L26" i="12" s="1"/>
  <c r="L27" i="12" s="1"/>
  <c r="L162" i="1"/>
  <c r="L164" i="1" s="1"/>
  <c r="T29" i="11"/>
  <c r="H30" i="11"/>
  <c r="L167" i="1" l="1"/>
  <c r="L169" i="1" s="1"/>
  <c r="L24" i="11"/>
  <c r="L25" i="11" s="1"/>
  <c r="L27" i="11" s="1"/>
  <c r="CY47" i="7"/>
  <c r="CY49" i="7" s="1"/>
  <c r="N49" i="7"/>
  <c r="CX49" i="7"/>
  <c r="DQ49" i="7" s="1"/>
  <c r="K24" i="11"/>
  <c r="K167" i="1"/>
  <c r="I28" i="16"/>
  <c r="I29" i="16" s="1"/>
  <c r="J27" i="16"/>
  <c r="O159" i="1"/>
  <c r="O16" i="11"/>
  <c r="O47" i="7"/>
  <c r="M4" i="12"/>
  <c r="M13" i="12" s="1"/>
  <c r="M26" i="12" s="1"/>
  <c r="M27" i="12" s="1"/>
  <c r="M162" i="1"/>
  <c r="M164" i="1" s="1"/>
  <c r="DQ47" i="7"/>
  <c r="H6" i="16"/>
  <c r="H9" i="16" s="1"/>
  <c r="H14" i="16" s="1"/>
  <c r="H31" i="16" s="1"/>
  <c r="I29" i="11"/>
  <c r="I30" i="11" s="1"/>
  <c r="P158" i="1"/>
  <c r="Q153" i="1"/>
  <c r="Q154" i="1" s="1"/>
  <c r="DR49" i="7" l="1"/>
  <c r="Q158" i="1"/>
  <c r="R153" i="1"/>
  <c r="R154" i="1" s="1"/>
  <c r="M24" i="11"/>
  <c r="M25" i="11" s="1"/>
  <c r="M27" i="11" s="1"/>
  <c r="M167" i="1"/>
  <c r="M169" i="1" s="1"/>
  <c r="J28" i="16"/>
  <c r="J29" i="16" s="1"/>
  <c r="K27" i="16"/>
  <c r="K25" i="11"/>
  <c r="K27" i="11" s="1"/>
  <c r="P16" i="11"/>
  <c r="P159" i="1"/>
  <c r="P47" i="7"/>
  <c r="I6" i="16"/>
  <c r="I9" i="16" s="1"/>
  <c r="I14" i="16" s="1"/>
  <c r="I31" i="16" s="1"/>
  <c r="J29" i="11"/>
  <c r="J30" i="11" s="1"/>
  <c r="K169" i="1"/>
  <c r="N4" i="12"/>
  <c r="N162" i="1"/>
  <c r="N164" i="1" s="1"/>
  <c r="DR47" i="7"/>
  <c r="O49" i="7"/>
  <c r="CZ47" i="7"/>
  <c r="CZ49" i="7" s="1"/>
  <c r="O56" i="25" l="1"/>
  <c r="O9" i="18"/>
  <c r="O162" i="1"/>
  <c r="O164" i="1" s="1"/>
  <c r="N13" i="12"/>
  <c r="N26" i="12" s="1"/>
  <c r="N27" i="12" s="1"/>
  <c r="O4" i="12"/>
  <c r="J6" i="16"/>
  <c r="K29" i="11"/>
  <c r="K30" i="11" s="1"/>
  <c r="DS49" i="7"/>
  <c r="DS47" i="7"/>
  <c r="N167" i="1"/>
  <c r="N24" i="11"/>
  <c r="N25" i="11" s="1"/>
  <c r="N27" i="11" s="1"/>
  <c r="DA47" i="7"/>
  <c r="DA49" i="7" s="1"/>
  <c r="P49" i="7"/>
  <c r="P162" i="1" s="1"/>
  <c r="P164" i="1" s="1"/>
  <c r="L27" i="16"/>
  <c r="K28" i="16"/>
  <c r="K29" i="16" s="1"/>
  <c r="R158" i="1"/>
  <c r="S153" i="1"/>
  <c r="S154" i="1" s="1"/>
  <c r="Q159" i="1"/>
  <c r="C11" i="29"/>
  <c r="C12" i="29" s="1"/>
  <c r="Q16" i="11"/>
  <c r="Q47" i="7"/>
  <c r="J9" i="16" l="1"/>
  <c r="J14" i="16" s="1"/>
  <c r="J31" i="16" s="1"/>
  <c r="DT47" i="7"/>
  <c r="N169" i="1"/>
  <c r="K6" i="16"/>
  <c r="K9" i="16" s="1"/>
  <c r="K14" i="16" s="1"/>
  <c r="K31" i="16" s="1"/>
  <c r="L29" i="11"/>
  <c r="L30" i="11" s="1"/>
  <c r="O24" i="11"/>
  <c r="O167" i="1"/>
  <c r="O169" i="1" s="1"/>
  <c r="R159" i="1"/>
  <c r="R47" i="7"/>
  <c r="R16" i="11"/>
  <c r="L28" i="16"/>
  <c r="L29" i="16" s="1"/>
  <c r="M27" i="16"/>
  <c r="DT49" i="7"/>
  <c r="O27" i="12"/>
  <c r="DB47" i="7"/>
  <c r="DB49" i="7" s="1"/>
  <c r="Q49" i="7"/>
  <c r="T154" i="1"/>
  <c r="S158" i="1"/>
  <c r="U153" i="1"/>
  <c r="P167" i="1"/>
  <c r="P169" i="1" s="1"/>
  <c r="P24" i="11"/>
  <c r="P25" i="11" s="1"/>
  <c r="P27" i="11" s="1"/>
  <c r="DU49" i="7" l="1"/>
  <c r="AG153" i="1"/>
  <c r="U154" i="1"/>
  <c r="S16" i="11"/>
  <c r="S159" i="1"/>
  <c r="S47" i="7"/>
  <c r="T158" i="1"/>
  <c r="T159" i="1" s="1"/>
  <c r="Q4" i="12"/>
  <c r="Q162" i="1"/>
  <c r="Q164" i="1" s="1"/>
  <c r="DU47" i="7"/>
  <c r="M28" i="16"/>
  <c r="M29" i="16" s="1"/>
  <c r="N27" i="16"/>
  <c r="O25" i="11"/>
  <c r="O27" i="11" s="1"/>
  <c r="DC47" i="7"/>
  <c r="DC49" i="7" s="1"/>
  <c r="R49" i="7"/>
  <c r="L6" i="16"/>
  <c r="L9" i="16" s="1"/>
  <c r="L14" i="16" s="1"/>
  <c r="L31" i="16" s="1"/>
  <c r="M29" i="11"/>
  <c r="M30" i="11" s="1"/>
  <c r="DV49" i="7" l="1"/>
  <c r="Q13" i="12"/>
  <c r="S49" i="7"/>
  <c r="DD47" i="7"/>
  <c r="T47" i="7"/>
  <c r="T16" i="11"/>
  <c r="M6" i="16"/>
  <c r="M9" i="16" s="1"/>
  <c r="M14" i="16" s="1"/>
  <c r="M31" i="16" s="1"/>
  <c r="N29" i="11"/>
  <c r="N30" i="11" s="1"/>
  <c r="R4" i="12"/>
  <c r="R13" i="12" s="1"/>
  <c r="R26" i="12" s="1"/>
  <c r="R162" i="1"/>
  <c r="R164" i="1" s="1"/>
  <c r="DV47" i="7"/>
  <c r="N28" i="16"/>
  <c r="N29" i="16" s="1"/>
  <c r="O27" i="16"/>
  <c r="Q167" i="1"/>
  <c r="Q169" i="1" s="1"/>
  <c r="Q24" i="11"/>
  <c r="C20" i="30"/>
  <c r="C22" i="30" s="1"/>
  <c r="C34" i="29"/>
  <c r="C36" i="29" s="1"/>
  <c r="U158" i="1"/>
  <c r="V153" i="1"/>
  <c r="V154" i="1" s="1"/>
  <c r="V158" i="1" l="1"/>
  <c r="W153" i="1"/>
  <c r="W154" i="1" s="1"/>
  <c r="R24" i="11"/>
  <c r="R25" i="11" s="1"/>
  <c r="R27" i="11" s="1"/>
  <c r="R167" i="1"/>
  <c r="R169" i="1" s="1"/>
  <c r="N6" i="16"/>
  <c r="N9" i="16" s="1"/>
  <c r="N14" i="16" s="1"/>
  <c r="N31" i="16" s="1"/>
  <c r="O29" i="11"/>
  <c r="O30" i="11" s="1"/>
  <c r="S162" i="1"/>
  <c r="S4" i="12"/>
  <c r="S13" i="12" s="1"/>
  <c r="S26" i="12" s="1"/>
  <c r="T49" i="7"/>
  <c r="T4" i="12" s="1"/>
  <c r="T13" i="12" s="1"/>
  <c r="T26" i="12" s="1"/>
  <c r="U159" i="1"/>
  <c r="U16" i="11"/>
  <c r="U47" i="7"/>
  <c r="Q25" i="11"/>
  <c r="Q27" i="11" s="1"/>
  <c r="O28" i="16"/>
  <c r="O29" i="16" s="1"/>
  <c r="P27" i="16"/>
  <c r="DD49" i="7"/>
  <c r="DW49" i="7" s="1"/>
  <c r="DE47" i="7"/>
  <c r="DW47" i="7"/>
  <c r="DX47" i="7" s="1"/>
  <c r="Q26" i="12"/>
  <c r="Q27" i="12" s="1"/>
  <c r="R27" i="12" s="1"/>
  <c r="AC13" i="12"/>
  <c r="AC26" i="12" s="1"/>
  <c r="S27" i="12" l="1"/>
  <c r="T27" i="12" s="1"/>
  <c r="U49" i="7"/>
  <c r="S164" i="1"/>
  <c r="T162" i="1"/>
  <c r="P28" i="16"/>
  <c r="P29" i="16" s="1"/>
  <c r="Q27" i="16"/>
  <c r="O6" i="16"/>
  <c r="O9" i="16" s="1"/>
  <c r="P29" i="11"/>
  <c r="P30" i="11" s="1"/>
  <c r="W158" i="1"/>
  <c r="X153" i="1"/>
  <c r="X154" i="1" s="1"/>
  <c r="V16" i="11"/>
  <c r="V159" i="1"/>
  <c r="V47" i="7"/>
  <c r="V49" i="7" s="1"/>
  <c r="V4" i="12" l="1"/>
  <c r="V13" i="12" s="1"/>
  <c r="V26" i="12" s="1"/>
  <c r="V162" i="1"/>
  <c r="V164" i="1" s="1"/>
  <c r="W159" i="1"/>
  <c r="W16" i="11"/>
  <c r="W47" i="7"/>
  <c r="W49" i="7" s="1"/>
  <c r="O54" i="25"/>
  <c r="O25" i="25"/>
  <c r="O26" i="25"/>
  <c r="O48" i="25"/>
  <c r="O10" i="18"/>
  <c r="O14" i="18" s="1"/>
  <c r="O14" i="16"/>
  <c r="S167" i="1"/>
  <c r="S24" i="11"/>
  <c r="T164" i="1"/>
  <c r="X158" i="1"/>
  <c r="Y153" i="1"/>
  <c r="Y154" i="1" s="1"/>
  <c r="P6" i="16"/>
  <c r="P9" i="16" s="1"/>
  <c r="P14" i="16" s="1"/>
  <c r="P31" i="16" s="1"/>
  <c r="Q29" i="11"/>
  <c r="Q30" i="11" s="1"/>
  <c r="Q28" i="16"/>
  <c r="Q29" i="16" s="1"/>
  <c r="R27" i="16"/>
  <c r="U4" i="12"/>
  <c r="U162" i="1"/>
  <c r="U164" i="1" s="1"/>
  <c r="U24" i="11" l="1"/>
  <c r="U167" i="1"/>
  <c r="U169" i="1" s="1"/>
  <c r="U13" i="12"/>
  <c r="U26" i="12" s="1"/>
  <c r="U27" i="12" s="1"/>
  <c r="V27" i="12" s="1"/>
  <c r="R28" i="16"/>
  <c r="R29" i="16" s="1"/>
  <c r="S27" i="16"/>
  <c r="Q6" i="16"/>
  <c r="Q9" i="16" s="1"/>
  <c r="Q14" i="16" s="1"/>
  <c r="R29" i="11"/>
  <c r="R30" i="11" s="1"/>
  <c r="Y158" i="1"/>
  <c r="Z153" i="1"/>
  <c r="Z154" i="1" s="1"/>
  <c r="S169" i="1"/>
  <c r="T167" i="1"/>
  <c r="T169" i="1" s="1"/>
  <c r="Q31" i="16"/>
  <c r="X159" i="1"/>
  <c r="X16" i="11"/>
  <c r="X47" i="7"/>
  <c r="S25" i="11"/>
  <c r="S27" i="11" s="1"/>
  <c r="T24" i="11"/>
  <c r="T25" i="11" s="1"/>
  <c r="T27" i="11" s="1"/>
  <c r="O8" i="25"/>
  <c r="O53" i="25"/>
  <c r="O13" i="25"/>
  <c r="O27" i="25"/>
  <c r="O6" i="25"/>
  <c r="O9" i="25"/>
  <c r="O41" i="25"/>
  <c r="O7" i="25"/>
  <c r="O29" i="25"/>
  <c r="O12" i="25"/>
  <c r="O31" i="16"/>
  <c r="W50" i="7"/>
  <c r="W162" i="1"/>
  <c r="W164" i="1" s="1"/>
  <c r="W4" i="12"/>
  <c r="W13" i="12" s="1"/>
  <c r="W26" i="12" s="1"/>
  <c r="V24" i="11"/>
  <c r="V25" i="11" s="1"/>
  <c r="V27" i="11" s="1"/>
  <c r="V167" i="1"/>
  <c r="V169" i="1" s="1"/>
  <c r="O14" i="25" l="1"/>
  <c r="O15" i="25" s="1"/>
  <c r="X49" i="7"/>
  <c r="Z158" i="1"/>
  <c r="AA153" i="1"/>
  <c r="AA154" i="1" s="1"/>
  <c r="R6" i="16"/>
  <c r="R9" i="16" s="1"/>
  <c r="R14" i="16" s="1"/>
  <c r="S29" i="11"/>
  <c r="S30" i="11" s="1"/>
  <c r="S28" i="16"/>
  <c r="S29" i="16" s="1"/>
  <c r="T27" i="16"/>
  <c r="U25" i="11"/>
  <c r="U27" i="11" s="1"/>
  <c r="W167" i="1"/>
  <c r="W169" i="1" s="1"/>
  <c r="W24" i="11"/>
  <c r="W25" i="11" s="1"/>
  <c r="W27" i="11" s="1"/>
  <c r="Y16" i="11"/>
  <c r="Y159" i="1"/>
  <c r="Y47" i="7"/>
  <c r="Y49" i="7" s="1"/>
  <c r="R31" i="16"/>
  <c r="W27" i="12"/>
  <c r="Y4" i="12" l="1"/>
  <c r="Y13" i="12" s="1"/>
  <c r="Y26" i="12" s="1"/>
  <c r="Y50" i="7"/>
  <c r="Y162" i="1"/>
  <c r="Y164" i="1" s="1"/>
  <c r="Z159" i="1"/>
  <c r="Z47" i="7"/>
  <c r="Z49" i="7" s="1"/>
  <c r="Z16" i="11"/>
  <c r="X162" i="1"/>
  <c r="X164" i="1" s="1"/>
  <c r="X4" i="12"/>
  <c r="X13" i="12" s="1"/>
  <c r="X26" i="12" s="1"/>
  <c r="X27" i="12" s="1"/>
  <c r="X50" i="7"/>
  <c r="T28" i="16"/>
  <c r="T29" i="16" s="1"/>
  <c r="U27" i="16"/>
  <c r="S6" i="16"/>
  <c r="T30" i="11"/>
  <c r="U29" i="11" s="1"/>
  <c r="AA158" i="1"/>
  <c r="AB153" i="1"/>
  <c r="AB154" i="1" s="1"/>
  <c r="Y27" i="12" l="1"/>
  <c r="AB158" i="1"/>
  <c r="AC153" i="1"/>
  <c r="AC154" i="1" s="1"/>
  <c r="AG29" i="11"/>
  <c r="U30" i="11"/>
  <c r="V27" i="16"/>
  <c r="U28" i="16"/>
  <c r="U29" i="16" s="1"/>
  <c r="X167" i="1"/>
  <c r="X169" i="1" s="1"/>
  <c r="X24" i="11"/>
  <c r="Z50" i="7"/>
  <c r="Z4" i="12"/>
  <c r="Z13" i="12" s="1"/>
  <c r="Z26" i="12" s="1"/>
  <c r="Z162" i="1"/>
  <c r="Z164" i="1" s="1"/>
  <c r="Y167" i="1"/>
  <c r="Y169" i="1" s="1"/>
  <c r="Y24" i="11"/>
  <c r="Y25" i="11" s="1"/>
  <c r="Y27" i="11" s="1"/>
  <c r="AA16" i="11"/>
  <c r="AA159" i="1"/>
  <c r="AA47" i="7"/>
  <c r="AA49" i="7" s="1"/>
  <c r="S9" i="16"/>
  <c r="S14" i="16" s="1"/>
  <c r="S31" i="16" s="1"/>
  <c r="T6" i="16"/>
  <c r="T9" i="16" s="1"/>
  <c r="T14" i="16" s="1"/>
  <c r="T31" i="16" s="1"/>
  <c r="Z27" i="12" l="1"/>
  <c r="AA50" i="7"/>
  <c r="AA4" i="12"/>
  <c r="AA13" i="12" s="1"/>
  <c r="AA26" i="12" s="1"/>
  <c r="AA162" i="1"/>
  <c r="AA164" i="1" s="1"/>
  <c r="Z24" i="11"/>
  <c r="Z25" i="11" s="1"/>
  <c r="Z27" i="11" s="1"/>
  <c r="Z167" i="1"/>
  <c r="Z169" i="1" s="1"/>
  <c r="X25" i="11"/>
  <c r="X27" i="11" s="1"/>
  <c r="V28" i="16"/>
  <c r="V29" i="16" s="1"/>
  <c r="W27" i="16"/>
  <c r="AB47" i="7"/>
  <c r="AB49" i="7" s="1"/>
  <c r="AB16" i="11"/>
  <c r="AB159" i="1"/>
  <c r="U6" i="16"/>
  <c r="U9" i="16" s="1"/>
  <c r="U14" i="16" s="1"/>
  <c r="U31" i="16" s="1"/>
  <c r="V29" i="11"/>
  <c r="V30" i="11" s="1"/>
  <c r="AC158" i="1"/>
  <c r="AD153" i="1"/>
  <c r="AD154" i="1" s="1"/>
  <c r="AA27" i="12" l="1"/>
  <c r="AE153" i="1"/>
  <c r="AE154" i="1" s="1"/>
  <c r="AD158" i="1"/>
  <c r="V6" i="16"/>
  <c r="W29" i="11"/>
  <c r="W30" i="11" s="1"/>
  <c r="AB162" i="1"/>
  <c r="AB164" i="1" s="1"/>
  <c r="AB50" i="7"/>
  <c r="AB4" i="12"/>
  <c r="AA24" i="11"/>
  <c r="AA167" i="1"/>
  <c r="AA169" i="1" s="1"/>
  <c r="AC159" i="1"/>
  <c r="AC16" i="11"/>
  <c r="AC47" i="7"/>
  <c r="AC49" i="7" s="1"/>
  <c r="W28" i="16"/>
  <c r="W29" i="16" s="1"/>
  <c r="X27" i="16"/>
  <c r="V9" i="16" l="1"/>
  <c r="V14" i="16" s="1"/>
  <c r="V31" i="16" s="1"/>
  <c r="AB13" i="12"/>
  <c r="AB26" i="12" s="1"/>
  <c r="AB27" i="12" s="1"/>
  <c r="AC27" i="12" s="1"/>
  <c r="AC4" i="12"/>
  <c r="AB167" i="1"/>
  <c r="AB169" i="1" s="1"/>
  <c r="AB24" i="11"/>
  <c r="AB25" i="11" s="1"/>
  <c r="AB27" i="11" s="1"/>
  <c r="AF153" i="1"/>
  <c r="AF154" i="1" s="1"/>
  <c r="AE158" i="1"/>
  <c r="X28" i="16"/>
  <c r="X29" i="16" s="1"/>
  <c r="Y27" i="16"/>
  <c r="AC50" i="7"/>
  <c r="AC56" i="25"/>
  <c r="AC20" i="25"/>
  <c r="AC32" i="25"/>
  <c r="AC162" i="1"/>
  <c r="AC164" i="1" s="1"/>
  <c r="AA25" i="11"/>
  <c r="AA27" i="11" s="1"/>
  <c r="X29" i="11"/>
  <c r="X30" i="11" s="1"/>
  <c r="W6" i="16"/>
  <c r="W9" i="16" s="1"/>
  <c r="W14" i="16" s="1"/>
  <c r="W31" i="16" s="1"/>
  <c r="AD159" i="1"/>
  <c r="D11" i="29"/>
  <c r="D12" i="29" s="1"/>
  <c r="AD16" i="11"/>
  <c r="AD47" i="7"/>
  <c r="AD49" i="7" s="1"/>
  <c r="X6" i="16" l="1"/>
  <c r="X9" i="16" s="1"/>
  <c r="X14" i="16" s="1"/>
  <c r="X31" i="16" s="1"/>
  <c r="Y29" i="11"/>
  <c r="Y30" i="11" s="1"/>
  <c r="AC167" i="1"/>
  <c r="AC169" i="1" s="1"/>
  <c r="AC24" i="11"/>
  <c r="AG154" i="1"/>
  <c r="AF158" i="1"/>
  <c r="AH153" i="1"/>
  <c r="AH154" i="1" s="1"/>
  <c r="AD32" i="25"/>
  <c r="AD56" i="25"/>
  <c r="AD50" i="7"/>
  <c r="AD20" i="25"/>
  <c r="AD162" i="1"/>
  <c r="AD164" i="1" s="1"/>
  <c r="AD4" i="12"/>
  <c r="AD13" i="12" s="1"/>
  <c r="AD26" i="12" s="1"/>
  <c r="AD27" i="12" s="1"/>
  <c r="Y28" i="16"/>
  <c r="Y29" i="16" s="1"/>
  <c r="Z27" i="16"/>
  <c r="E11" i="29"/>
  <c r="E12" i="29" s="1"/>
  <c r="AE159" i="1"/>
  <c r="AE16" i="11"/>
  <c r="AE47" i="7"/>
  <c r="AE49" i="7" s="1"/>
  <c r="D34" i="29" l="1"/>
  <c r="D36" i="29" s="1"/>
  <c r="AD24" i="11"/>
  <c r="AD25" i="11" s="1"/>
  <c r="AD27" i="11" s="1"/>
  <c r="AD167" i="1"/>
  <c r="AD169" i="1" s="1"/>
  <c r="D20" i="30"/>
  <c r="D22" i="30" s="1"/>
  <c r="AF159" i="1"/>
  <c r="F11" i="29"/>
  <c r="F12" i="29" s="1"/>
  <c r="AF16" i="11"/>
  <c r="AF47" i="7"/>
  <c r="AG158" i="1"/>
  <c r="AC25" i="11"/>
  <c r="AC27" i="11" s="1"/>
  <c r="Z29" i="11"/>
  <c r="Z30" i="11" s="1"/>
  <c r="Y6" i="16"/>
  <c r="AE9" i="18"/>
  <c r="AE56" i="25"/>
  <c r="AE20" i="25"/>
  <c r="AE32" i="25"/>
  <c r="AE50" i="7"/>
  <c r="AE162" i="1"/>
  <c r="AE164" i="1" s="1"/>
  <c r="AE4" i="12"/>
  <c r="AE13" i="12" s="1"/>
  <c r="AE26" i="12" s="1"/>
  <c r="AE27" i="12" s="1"/>
  <c r="Z28" i="16"/>
  <c r="Z29" i="16" s="1"/>
  <c r="AA27" i="16"/>
  <c r="AH158" i="1"/>
  <c r="AI153" i="1"/>
  <c r="AI154" i="1" s="1"/>
  <c r="Y9" i="16" l="1"/>
  <c r="Y14" i="16" s="1"/>
  <c r="Y31" i="16" s="1"/>
  <c r="AH159" i="1"/>
  <c r="H11" i="29"/>
  <c r="H12" i="29" s="1"/>
  <c r="AH16" i="11"/>
  <c r="AH47" i="7"/>
  <c r="E20" i="30"/>
  <c r="E22" i="30" s="1"/>
  <c r="E34" i="29"/>
  <c r="E36" i="29" s="1"/>
  <c r="AE24" i="11"/>
  <c r="AE25" i="11" s="1"/>
  <c r="AE27" i="11" s="1"/>
  <c r="AE167" i="1"/>
  <c r="AE169" i="1" s="1"/>
  <c r="AG159" i="1"/>
  <c r="G11" i="29"/>
  <c r="G12" i="29" s="1"/>
  <c r="B18" i="29" s="1"/>
  <c r="AG16" i="11"/>
  <c r="AI158" i="1"/>
  <c r="AJ153" i="1"/>
  <c r="AJ154" i="1" s="1"/>
  <c r="AA28" i="16"/>
  <c r="AA29" i="16" s="1"/>
  <c r="AB27" i="16"/>
  <c r="Z6" i="16"/>
  <c r="Z9" i="16" s="1"/>
  <c r="Z14" i="16" s="1"/>
  <c r="Z31" i="16" s="1"/>
  <c r="AA29" i="11"/>
  <c r="AA30" i="11" s="1"/>
  <c r="AF49" i="7"/>
  <c r="AG47" i="7"/>
  <c r="AF20" i="25" l="1"/>
  <c r="AF50" i="7"/>
  <c r="AF56" i="25"/>
  <c r="AF9" i="18"/>
  <c r="AF32" i="25"/>
  <c r="AF4" i="12"/>
  <c r="AF13" i="12" s="1"/>
  <c r="AF26" i="12" s="1"/>
  <c r="AF27" i="12" s="1"/>
  <c r="AF162" i="1"/>
  <c r="AF164" i="1" s="1"/>
  <c r="AG49" i="7"/>
  <c r="AB28" i="16"/>
  <c r="AB29" i="16" s="1"/>
  <c r="AC27" i="16"/>
  <c r="AK153" i="1"/>
  <c r="AK154" i="1" s="1"/>
  <c r="AJ158" i="1"/>
  <c r="DG47" i="7"/>
  <c r="DG49" i="7" s="1"/>
  <c r="AH49" i="7"/>
  <c r="L19" i="29"/>
  <c r="F19" i="29"/>
  <c r="L20" i="29"/>
  <c r="K20" i="29"/>
  <c r="G20" i="29"/>
  <c r="B23" i="29"/>
  <c r="E20" i="29"/>
  <c r="I19" i="29"/>
  <c r="D19" i="29"/>
  <c r="H19" i="29"/>
  <c r="J20" i="29"/>
  <c r="H20" i="29"/>
  <c r="K19" i="29"/>
  <c r="D20" i="29"/>
  <c r="G19" i="29"/>
  <c r="J19" i="29"/>
  <c r="F20" i="29"/>
  <c r="E19" i="29"/>
  <c r="I20" i="29"/>
  <c r="AA6" i="16"/>
  <c r="AA9" i="16" s="1"/>
  <c r="AA14" i="16" s="1"/>
  <c r="AA31" i="16" s="1"/>
  <c r="AB29" i="11"/>
  <c r="AB30" i="11" s="1"/>
  <c r="AI159" i="1"/>
  <c r="AI16" i="11"/>
  <c r="I11" i="29"/>
  <c r="I12" i="29" s="1"/>
  <c r="AI47" i="7"/>
  <c r="DZ47" i="7" l="1"/>
  <c r="DH47" i="7"/>
  <c r="DH49" i="7" s="1"/>
  <c r="AI49" i="7"/>
  <c r="AH50" i="7"/>
  <c r="AH162" i="1"/>
  <c r="AH164" i="1" s="1"/>
  <c r="AL153" i="1"/>
  <c r="AL154" i="1" s="1"/>
  <c r="AK158" i="1"/>
  <c r="AF24" i="11"/>
  <c r="AF167" i="1"/>
  <c r="AF169" i="1" s="1"/>
  <c r="F34" i="29"/>
  <c r="F36" i="29" s="1"/>
  <c r="F20" i="30"/>
  <c r="F22" i="30" s="1"/>
  <c r="B24" i="30" s="1"/>
  <c r="C29" i="30" s="1"/>
  <c r="AG164" i="1"/>
  <c r="AB6" i="16"/>
  <c r="AB9" i="16" s="1"/>
  <c r="AB14" i="16" s="1"/>
  <c r="AB31" i="16" s="1"/>
  <c r="AC29" i="11"/>
  <c r="AC30" i="11" s="1"/>
  <c r="DZ49" i="7"/>
  <c r="J11" i="29"/>
  <c r="J12" i="29" s="1"/>
  <c r="AJ159" i="1"/>
  <c r="AJ16" i="11"/>
  <c r="AJ47" i="7"/>
  <c r="AC28" i="16"/>
  <c r="AC29" i="16" s="1"/>
  <c r="AD27" i="16"/>
  <c r="AG50" i="7"/>
  <c r="AG56" i="25"/>
  <c r="AG20" i="25"/>
  <c r="AG32" i="25"/>
  <c r="AG9" i="18"/>
  <c r="AG4" i="12"/>
  <c r="AG13" i="12" s="1"/>
  <c r="AG26" i="12" s="1"/>
  <c r="AG27" i="12" s="1"/>
  <c r="EA47" i="7" l="1"/>
  <c r="AD28" i="16"/>
  <c r="AD29" i="16" s="1"/>
  <c r="AE27" i="16"/>
  <c r="DI47" i="7"/>
  <c r="DI49" i="7" s="1"/>
  <c r="AJ49" i="7"/>
  <c r="AL158" i="1"/>
  <c r="AM153" i="1"/>
  <c r="AM154" i="1" s="1"/>
  <c r="AI50" i="7"/>
  <c r="AI162" i="1"/>
  <c r="AI164" i="1" s="1"/>
  <c r="AC6" i="16"/>
  <c r="AC9" i="16" s="1"/>
  <c r="AD29" i="11"/>
  <c r="AD30" i="11" s="1"/>
  <c r="AG167" i="1"/>
  <c r="AG169" i="1" s="1"/>
  <c r="G34" i="29"/>
  <c r="G36" i="29" s="1"/>
  <c r="AF25" i="11"/>
  <c r="AF27" i="11" s="1"/>
  <c r="AG24" i="11"/>
  <c r="AG25" i="11" s="1"/>
  <c r="AG27" i="11" s="1"/>
  <c r="AK159" i="1"/>
  <c r="K11" i="29"/>
  <c r="K12" i="29" s="1"/>
  <c r="AK16" i="11"/>
  <c r="AK47" i="7"/>
  <c r="AK49" i="7" s="1"/>
  <c r="AH24" i="11"/>
  <c r="AH25" i="11" s="1"/>
  <c r="AH27" i="11" s="1"/>
  <c r="AH167" i="1"/>
  <c r="AH169" i="1" s="1"/>
  <c r="H34" i="29"/>
  <c r="H36" i="29" s="1"/>
  <c r="EA49" i="7"/>
  <c r="B38" i="29" l="1"/>
  <c r="AK50" i="7"/>
  <c r="AK162" i="1"/>
  <c r="AK164" i="1" s="1"/>
  <c r="AC25" i="25"/>
  <c r="AC48" i="25"/>
  <c r="AC54" i="25"/>
  <c r="AC26" i="25"/>
  <c r="AC14" i="16"/>
  <c r="AI167" i="1"/>
  <c r="AI169" i="1" s="1"/>
  <c r="AI24" i="11"/>
  <c r="AI25" i="11" s="1"/>
  <c r="AI27" i="11" s="1"/>
  <c r="I34" i="29"/>
  <c r="I36" i="29" s="1"/>
  <c r="AM158" i="1"/>
  <c r="AN153" i="1"/>
  <c r="AN154" i="1" s="1"/>
  <c r="AJ50" i="7"/>
  <c r="AJ162" i="1"/>
  <c r="AJ164" i="1" s="1"/>
  <c r="EB49" i="7"/>
  <c r="AD6" i="16"/>
  <c r="AD9" i="16" s="1"/>
  <c r="AE29" i="11"/>
  <c r="AE30" i="11" s="1"/>
  <c r="L11" i="29"/>
  <c r="L12" i="29" s="1"/>
  <c r="B15" i="29" s="1"/>
  <c r="AL159" i="1"/>
  <c r="AL16" i="11"/>
  <c r="AL47" i="7"/>
  <c r="AL49" i="7" s="1"/>
  <c r="EB47" i="7"/>
  <c r="AE28" i="16"/>
  <c r="AE29" i="16" s="1"/>
  <c r="AF27" i="16"/>
  <c r="L17" i="29" l="1"/>
  <c r="L16" i="29"/>
  <c r="D17" i="29"/>
  <c r="H17" i="29"/>
  <c r="H16" i="29"/>
  <c r="E17" i="29"/>
  <c r="D16" i="29"/>
  <c r="G16" i="29"/>
  <c r="K16" i="29"/>
  <c r="E16" i="29"/>
  <c r="F17" i="29"/>
  <c r="I17" i="29"/>
  <c r="J16" i="29"/>
  <c r="F16" i="29"/>
  <c r="G17" i="29"/>
  <c r="K17" i="29"/>
  <c r="I16" i="29"/>
  <c r="J17" i="29"/>
  <c r="AF28" i="16"/>
  <c r="AF29" i="16" s="1"/>
  <c r="AG27" i="16"/>
  <c r="AD25" i="25"/>
  <c r="AD26" i="25"/>
  <c r="AD54" i="25"/>
  <c r="AD48" i="25"/>
  <c r="AD14" i="16"/>
  <c r="AJ167" i="1"/>
  <c r="AJ169" i="1" s="1"/>
  <c r="AJ24" i="11"/>
  <c r="AJ25" i="11" s="1"/>
  <c r="AJ27" i="11" s="1"/>
  <c r="J34" i="29"/>
  <c r="J36" i="29" s="1"/>
  <c r="AN158" i="1"/>
  <c r="AO153" i="1"/>
  <c r="AO154" i="1" s="1"/>
  <c r="AO158" i="1" s="1"/>
  <c r="AK167" i="1"/>
  <c r="AK169" i="1" s="1"/>
  <c r="AK24" i="11"/>
  <c r="AK25" i="11" s="1"/>
  <c r="AK27" i="11" s="1"/>
  <c r="K34" i="29"/>
  <c r="K36" i="29" s="1"/>
  <c r="AL50" i="7"/>
  <c r="AL162" i="1"/>
  <c r="AL164" i="1" s="1"/>
  <c r="AE6" i="16"/>
  <c r="AE9" i="16" s="1"/>
  <c r="AF29" i="11"/>
  <c r="AF30" i="11" s="1"/>
  <c r="AM159" i="1"/>
  <c r="AM16" i="11"/>
  <c r="AM47" i="7"/>
  <c r="AM49" i="7" s="1"/>
  <c r="AC41" i="25"/>
  <c r="AC8" i="25"/>
  <c r="AC29" i="25"/>
  <c r="AC53" i="25"/>
  <c r="AC6" i="25"/>
  <c r="AC52" i="25"/>
  <c r="AC9" i="25"/>
  <c r="AC27" i="25"/>
  <c r="AC7" i="25"/>
  <c r="AC13" i="25"/>
  <c r="AC12" i="25"/>
  <c r="AC31" i="16"/>
  <c r="AC14" i="25" l="1"/>
  <c r="AC15" i="25" s="1"/>
  <c r="AG30" i="11"/>
  <c r="AF6" i="16"/>
  <c r="AH29" i="11"/>
  <c r="AH30" i="11" s="1"/>
  <c r="L34" i="29"/>
  <c r="L36" i="29" s="1"/>
  <c r="AL24" i="11"/>
  <c r="AL25" i="11" s="1"/>
  <c r="AL27" i="11" s="1"/>
  <c r="AL167" i="1"/>
  <c r="AL169" i="1" s="1"/>
  <c r="AO159" i="1"/>
  <c r="AO47" i="7"/>
  <c r="AO49" i="7" s="1"/>
  <c r="AO16" i="11"/>
  <c r="AM50" i="7"/>
  <c r="AM162" i="1"/>
  <c r="AM164" i="1" s="1"/>
  <c r="AE48" i="25"/>
  <c r="AE26" i="25"/>
  <c r="AE25" i="25"/>
  <c r="AE54" i="25"/>
  <c r="AE10" i="18"/>
  <c r="AE14" i="18" s="1"/>
  <c r="AE14" i="16"/>
  <c r="AN159" i="1"/>
  <c r="AN16" i="11"/>
  <c r="AN47" i="7"/>
  <c r="AN49" i="7" s="1"/>
  <c r="AD41" i="25"/>
  <c r="AD7" i="25"/>
  <c r="AD9" i="25"/>
  <c r="AD6" i="25"/>
  <c r="AD53" i="25"/>
  <c r="AD13" i="25"/>
  <c r="AD52" i="25"/>
  <c r="AD29" i="25"/>
  <c r="AD8" i="25"/>
  <c r="AD27" i="25"/>
  <c r="AD12" i="25"/>
  <c r="AD31" i="16"/>
  <c r="AH27" i="16"/>
  <c r="AG28" i="16"/>
  <c r="AG29" i="16" s="1"/>
  <c r="AD14" i="25" l="1"/>
  <c r="AD15" i="25" s="1"/>
  <c r="AH28" i="16"/>
  <c r="AH29" i="16" s="1"/>
  <c r="AI27" i="16"/>
  <c r="AE13" i="25"/>
  <c r="AE8" i="25"/>
  <c r="AE7" i="25"/>
  <c r="AE53" i="25"/>
  <c r="AE9" i="25"/>
  <c r="AE29" i="25"/>
  <c r="AE27" i="25"/>
  <c r="AE41" i="25"/>
  <c r="AE52" i="25"/>
  <c r="AE6" i="25"/>
  <c r="AE12" i="25"/>
  <c r="AE14" i="25" s="1"/>
  <c r="AE15" i="25" s="1"/>
  <c r="AE31" i="16"/>
  <c r="AM24" i="11"/>
  <c r="AM25" i="11" s="1"/>
  <c r="AM27" i="11" s="1"/>
  <c r="AM167" i="1"/>
  <c r="AM169" i="1" s="1"/>
  <c r="AO162" i="1"/>
  <c r="AO164" i="1" s="1"/>
  <c r="AO50" i="7"/>
  <c r="AF9" i="16"/>
  <c r="AG6" i="16"/>
  <c r="AG9" i="16" s="1"/>
  <c r="AN50" i="7"/>
  <c r="AN162" i="1"/>
  <c r="AN164" i="1" s="1"/>
  <c r="AH6" i="16"/>
  <c r="AH9" i="16" s="1"/>
  <c r="AH14" i="16" s="1"/>
  <c r="AI29" i="11"/>
  <c r="AI30" i="11" s="1"/>
  <c r="AH31" i="16" l="1"/>
  <c r="AJ29" i="11"/>
  <c r="AJ30" i="11" s="1"/>
  <c r="AI6" i="16"/>
  <c r="AI9" i="16" s="1"/>
  <c r="AI14" i="16" s="1"/>
  <c r="AG48" i="25"/>
  <c r="AG54" i="25"/>
  <c r="AG26" i="25"/>
  <c r="AG25" i="25"/>
  <c r="AG10" i="18"/>
  <c r="AG14" i="18" s="1"/>
  <c r="AG14" i="16"/>
  <c r="AN167" i="1"/>
  <c r="AN169" i="1" s="1"/>
  <c r="AN24" i="11"/>
  <c r="AN25" i="11" s="1"/>
  <c r="AN27" i="11" s="1"/>
  <c r="AF26" i="25"/>
  <c r="AF54" i="25"/>
  <c r="AF25" i="25"/>
  <c r="AF48" i="25"/>
  <c r="AF10" i="18"/>
  <c r="AF14" i="18" s="1"/>
  <c r="AF14" i="16"/>
  <c r="AO167" i="1"/>
  <c r="AO169" i="1" s="1"/>
  <c r="AO24" i="11"/>
  <c r="AO25" i="11" s="1"/>
  <c r="AO27" i="11" s="1"/>
  <c r="AJ27" i="16"/>
  <c r="AI28" i="16"/>
  <c r="AI29" i="16" s="1"/>
  <c r="AI31" i="16" s="1"/>
  <c r="AK27" i="16" l="1"/>
  <c r="AJ28" i="16"/>
  <c r="AJ29" i="16" s="1"/>
  <c r="AK29" i="11"/>
  <c r="AK30" i="11" s="1"/>
  <c r="AJ6" i="16"/>
  <c r="AJ9" i="16" s="1"/>
  <c r="AJ14" i="16" s="1"/>
  <c r="AF7" i="25"/>
  <c r="AF52" i="25"/>
  <c r="AF53" i="25"/>
  <c r="AF9" i="25"/>
  <c r="AF13" i="25"/>
  <c r="AF8" i="25"/>
  <c r="AF41" i="25"/>
  <c r="AF6" i="25"/>
  <c r="AF29" i="25"/>
  <c r="AF27" i="25"/>
  <c r="AF12" i="25"/>
  <c r="AF14" i="25" s="1"/>
  <c r="AF15" i="25" s="1"/>
  <c r="AF31" i="16"/>
  <c r="AG7" i="25"/>
  <c r="AG27" i="25"/>
  <c r="AG29" i="25"/>
  <c r="AG53" i="25"/>
  <c r="AG13" i="25"/>
  <c r="AG52" i="25"/>
  <c r="AG6" i="25"/>
  <c r="AG41" i="25"/>
  <c r="AG8" i="25"/>
  <c r="AG9" i="25"/>
  <c r="AG12" i="25"/>
  <c r="AG14" i="25" s="1"/>
  <c r="AG15" i="25" s="1"/>
  <c r="AG31" i="16"/>
  <c r="AK6" i="16" l="1"/>
  <c r="AK9" i="16" s="1"/>
  <c r="AK14" i="16" s="1"/>
  <c r="AL29" i="11"/>
  <c r="AL30" i="11" s="1"/>
  <c r="AL27" i="16"/>
  <c r="AK28" i="16"/>
  <c r="AK29" i="16" s="1"/>
  <c r="AJ31" i="16"/>
  <c r="AM27" i="16" l="1"/>
  <c r="AL28" i="16"/>
  <c r="AL29" i="16" s="1"/>
  <c r="AK31" i="16"/>
  <c r="AL6" i="16"/>
  <c r="AL9" i="16" s="1"/>
  <c r="AL14" i="16" s="1"/>
  <c r="AM29" i="11"/>
  <c r="AM30" i="11" s="1"/>
  <c r="AM6" i="16" l="1"/>
  <c r="AM9" i="16" s="1"/>
  <c r="AM14" i="16" s="1"/>
  <c r="AN29" i="11"/>
  <c r="AN30" i="11" s="1"/>
  <c r="AN27" i="16"/>
  <c r="AM28" i="16"/>
  <c r="AM29" i="16" s="1"/>
  <c r="AL31" i="16"/>
  <c r="AO27" i="16" l="1"/>
  <c r="AO28" i="16" s="1"/>
  <c r="AO29" i="16" s="1"/>
  <c r="AN28" i="16"/>
  <c r="AN29" i="16" s="1"/>
  <c r="AM31" i="16"/>
  <c r="AO29" i="11"/>
  <c r="AO30" i="11" s="1"/>
  <c r="AO6" i="16" s="1"/>
  <c r="AO9" i="16" s="1"/>
  <c r="AO14" i="16" s="1"/>
  <c r="AN6" i="16"/>
  <c r="AN9" i="16" s="1"/>
  <c r="AN14" i="16" s="1"/>
  <c r="AO31" i="16" l="1"/>
  <c r="AN31" i="16"/>
</calcChain>
</file>

<file path=xl/comments1.xml><?xml version="1.0" encoding="utf-8"?>
<comments xmlns="http://schemas.openxmlformats.org/spreadsheetml/2006/main">
  <authors>
    <author>Daniel Badzire-Smith</author>
    <author xml:space="preserve"> Steve Sargeant</author>
  </authors>
  <commentList>
    <comment ref="D57" authorId="0">
      <text>
        <r>
          <rPr>
            <b/>
            <sz val="9"/>
            <color indexed="81"/>
            <rFont val="Tahoma"/>
            <family val="2"/>
          </rPr>
          <t>Daniel Badzire-Smith:</t>
        </r>
        <r>
          <rPr>
            <sz val="9"/>
            <color indexed="81"/>
            <rFont val="Tahoma"/>
            <family val="2"/>
          </rPr>
          <t xml:space="preserve">
Due in September, needs to be paid as soon as possible</t>
        </r>
      </text>
    </comment>
    <comment ref="AA72" authorId="0">
      <text>
        <r>
          <rPr>
            <b/>
            <sz val="9"/>
            <color indexed="81"/>
            <rFont val="Tahoma"/>
            <family val="2"/>
          </rPr>
          <t>Daniel Badzire-Smith:</t>
        </r>
        <r>
          <rPr>
            <sz val="9"/>
            <color indexed="81"/>
            <rFont val="Tahoma"/>
            <family val="2"/>
          </rPr>
          <t xml:space="preserve">
After 1 quarter of sales</t>
        </r>
      </text>
    </comment>
    <comment ref="A129" authorId="1">
      <text>
        <r>
          <rPr>
            <b/>
            <sz val="8"/>
            <color indexed="81"/>
            <rFont val="Tahoma"/>
            <family val="2"/>
          </rPr>
          <t xml:space="preserve"> Steve Sargeant:</t>
        </r>
        <r>
          <rPr>
            <sz val="8"/>
            <color indexed="81"/>
            <rFont val="Tahoma"/>
            <family val="2"/>
          </rPr>
          <t xml:space="preserve">
Assume covered up to value of 5x salaries, paying 3% of face value.</t>
        </r>
      </text>
    </comment>
  </commentList>
</comments>
</file>

<file path=xl/comments2.xml><?xml version="1.0" encoding="utf-8"?>
<comments xmlns="http://schemas.openxmlformats.org/spreadsheetml/2006/main">
  <authors>
    <author>Daniel Badzire-Smith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>Daniel Badzire-Smith:</t>
        </r>
        <r>
          <rPr>
            <sz val="9"/>
            <color indexed="81"/>
            <rFont val="Tahoma"/>
            <family val="2"/>
          </rPr>
          <t xml:space="preserve">
$2.1mm less $100,000 fees paid directly</t>
        </r>
      </text>
    </comment>
  </commentList>
</comments>
</file>

<file path=xl/sharedStrings.xml><?xml version="1.0" encoding="utf-8"?>
<sst xmlns="http://schemas.openxmlformats.org/spreadsheetml/2006/main" count="1383" uniqueCount="527">
  <si>
    <t>CAGR</t>
  </si>
  <si>
    <t>Percent of Total Assets</t>
  </si>
  <si>
    <t>Earnings</t>
  </si>
  <si>
    <t>Break-even Analysis</t>
  </si>
  <si>
    <t>Ending Balance Cash and Checking</t>
  </si>
  <si>
    <t>Other Operating Expenses</t>
  </si>
  <si>
    <t>Industry Profile</t>
  </si>
  <si>
    <t>Subtotal Uses of Cash</t>
  </si>
  <si>
    <t>All Other</t>
  </si>
  <si>
    <t xml:space="preserve">Obtain FDA Approval for Devices 14, 15, 16 </t>
  </si>
  <si>
    <t>**Grant Approved Giving Manufacturer Subsidized Machines</t>
  </si>
  <si>
    <t>n.a</t>
  </si>
  <si>
    <t>Payment Days</t>
  </si>
  <si>
    <t>Prototype Costs</t>
  </si>
  <si>
    <t>Less Money Spent</t>
  </si>
  <si>
    <t>Auto</t>
  </si>
  <si>
    <t>New Loans</t>
  </si>
  <si>
    <t>Cash</t>
  </si>
  <si>
    <t>Amount</t>
  </si>
  <si>
    <t>Return on Equity</t>
  </si>
  <si>
    <t>Plus Money Received</t>
  </si>
  <si>
    <t>Non-cash Assets from Start-up</t>
  </si>
  <si>
    <t>Row 3</t>
  </si>
  <si>
    <t>Opening Balance Cash &amp; Checking</t>
  </si>
  <si>
    <t>Manager</t>
  </si>
  <si>
    <t>Direct Costs</t>
  </si>
  <si>
    <t>Name or Title or Group</t>
  </si>
  <si>
    <t>Total Requirements</t>
  </si>
  <si>
    <t>Accounts Receivable</t>
  </si>
  <si>
    <t>Use of Funds</t>
  </si>
  <si>
    <t>Market Analysis</t>
  </si>
  <si>
    <t>Other Current Liabilities (interest-free)</t>
  </si>
  <si>
    <t>Pre-tax Return on Net Worth</t>
  </si>
  <si>
    <t>Obtain FDA Approval for Device 4 and 5</t>
  </si>
  <si>
    <t>Long-term Borrowing</t>
  </si>
  <si>
    <t>Equity</t>
  </si>
  <si>
    <t>Collection Days</t>
  </si>
  <si>
    <t>Requirements</t>
  </si>
  <si>
    <t>Ending Balance</t>
  </si>
  <si>
    <t>Recruit 30 High-Volume Surgeons</t>
  </si>
  <si>
    <t>Debt Payments</t>
  </si>
  <si>
    <t>Personal Net Worth</t>
  </si>
  <si>
    <t>Sources of Cash</t>
  </si>
  <si>
    <t>Name</t>
  </si>
  <si>
    <t>Liabilities and Capital</t>
  </si>
  <si>
    <t>Subtotal Sources of Cash</t>
  </si>
  <si>
    <t>ZipTie Subscap</t>
  </si>
  <si>
    <t>Increase in Inventory</t>
  </si>
  <si>
    <t>Assumptions:</t>
  </si>
  <si>
    <t>Collection Period (days)</t>
  </si>
  <si>
    <t>Cash Balance</t>
  </si>
  <si>
    <t>Total Asset Turnover</t>
  </si>
  <si>
    <t>Operating Income</t>
  </si>
  <si>
    <t>Bring in Additional Financing for Expansion of Technology Development Platform</t>
  </si>
  <si>
    <t>End Date</t>
  </si>
  <si>
    <t>Liabilities</t>
  </si>
  <si>
    <t>Normal Operating Expenses</t>
  </si>
  <si>
    <t>ZipTie Rotator Cuff</t>
  </si>
  <si>
    <t>Subtotal Current Liabilities</t>
  </si>
  <si>
    <t>Pro Forma Balance Sheet</t>
  </si>
  <si>
    <t>Main Residence</t>
  </si>
  <si>
    <t>Total Capital and Liabilities</t>
  </si>
  <si>
    <t>Office Equipment and Software</t>
  </si>
  <si>
    <t>Start-up Funding</t>
  </si>
  <si>
    <t>Sale of Assets</t>
  </si>
  <si>
    <t>Total Current Liabilities</t>
  </si>
  <si>
    <t>Current Liab. to Liab.</t>
  </si>
  <si>
    <t>Capital</t>
  </si>
  <si>
    <t>Long-term Assets</t>
  </si>
  <si>
    <t>Buffer for Unforseen Expenses</t>
  </si>
  <si>
    <t>Average Percent Variable Cost</t>
  </si>
  <si>
    <t>startup_accounts_payable</t>
  </si>
  <si>
    <t>Units</t>
  </si>
  <si>
    <t>Sales</t>
  </si>
  <si>
    <t>CEO Salary</t>
  </si>
  <si>
    <t>Additional Ratios</t>
  </si>
  <si>
    <t>Credit Card</t>
  </si>
  <si>
    <t>Obtain FDA Approval for Devices 11, 12, 13</t>
  </si>
  <si>
    <t>Net Income</t>
  </si>
  <si>
    <t>Decrease in Accounts Payable</t>
  </si>
  <si>
    <t>Advertising Expenses</t>
  </si>
  <si>
    <t>Average Per-Unit Variable Cost</t>
  </si>
  <si>
    <t>Activity Ratios</t>
  </si>
  <si>
    <t>Total</t>
  </si>
  <si>
    <t>Subtotal</t>
  </si>
  <si>
    <t>Administrative Personnel</t>
  </si>
  <si>
    <t>Obtain FDA Approval for Initial Devices</t>
  </si>
  <si>
    <t>Tax Rate</t>
  </si>
  <si>
    <t>Patent Costs</t>
  </si>
  <si>
    <t/>
  </si>
  <si>
    <t>Improvements</t>
  </si>
  <si>
    <t>No later than 12/31/2011</t>
  </si>
  <si>
    <t>Cash Requirements from Start-up</t>
  </si>
  <si>
    <t>*Identify and Recruit "High-Profile" Surgeon</t>
  </si>
  <si>
    <t>Investment</t>
  </si>
  <si>
    <t>Profits</t>
  </si>
  <si>
    <t>Subtotal Long-term Borrowing</t>
  </si>
  <si>
    <t>(Indirect Cash Flow Method)</t>
  </si>
  <si>
    <t>Account</t>
  </si>
  <si>
    <t>Owner</t>
  </si>
  <si>
    <t>Sources and Uses of Cash</t>
  </si>
  <si>
    <t>Start-up Expenses</t>
  </si>
  <si>
    <t>Total Assets</t>
  </si>
  <si>
    <t>Sarasota Office Space Rent</t>
  </si>
  <si>
    <t>Obtain Working Prototypes and Complete Bench Testing for Three Additional Devices (14, 15, 16)</t>
  </si>
  <si>
    <t>Budget</t>
  </si>
  <si>
    <t>Total People</t>
  </si>
  <si>
    <t>Debt Ratios</t>
  </si>
  <si>
    <t>Monthly Units Break-even</t>
  </si>
  <si>
    <t>Start-up Assets to Fund</t>
  </si>
  <si>
    <t xml:space="preserve">Total Funding </t>
  </si>
  <si>
    <t>Loss at Start-up (Start-up Expenses)</t>
  </si>
  <si>
    <t>Decrease in Accounts Receivable</t>
  </si>
  <si>
    <t>Current Assets</t>
  </si>
  <si>
    <t>Obtain FDA Approval for Devices 8, 9, 10</t>
  </si>
  <si>
    <t>Purchase of Assets</t>
  </si>
  <si>
    <t>Subtotal Money Spent</t>
  </si>
  <si>
    <t xml:space="preserve">Assets </t>
  </si>
  <si>
    <t>Accounts Payable</t>
  </si>
  <si>
    <t>Total Current Assets</t>
  </si>
  <si>
    <t>Payroll</t>
  </si>
  <si>
    <t>Additional Cash Raised</t>
  </si>
  <si>
    <t>Unit Prices</t>
  </si>
  <si>
    <t>Payments of Taxes</t>
  </si>
  <si>
    <t>Monthly Revenue Break-even</t>
  </si>
  <si>
    <t>Liquidity Ratios</t>
  </si>
  <si>
    <t>Past Performance</t>
  </si>
  <si>
    <t>Total Payroll Expenditures</t>
  </si>
  <si>
    <t>Long-term</t>
  </si>
  <si>
    <t>Ratio Analysis</t>
  </si>
  <si>
    <t>Other Long-term Loans</t>
  </si>
  <si>
    <t>Row 2</t>
  </si>
  <si>
    <t>Other Current Debt</t>
  </si>
  <si>
    <t>Debt to Net Worth</t>
  </si>
  <si>
    <t>Office Supplies</t>
  </si>
  <si>
    <t>Quick</t>
  </si>
  <si>
    <t xml:space="preserve">Net Income </t>
  </si>
  <si>
    <t>Planned Investment</t>
  </si>
  <si>
    <t>Obtain FDA Approval for Devices 5, 6, and 7</t>
  </si>
  <si>
    <t>Distributions</t>
  </si>
  <si>
    <t>Dividend Payout</t>
  </si>
  <si>
    <t>Start-up Expenses to Fund</t>
  </si>
  <si>
    <t>Other Current Assets</t>
  </si>
  <si>
    <t xml:space="preserve">  Interest Expense</t>
  </si>
  <si>
    <t>Decrease in Inventory</t>
  </si>
  <si>
    <t>*Cost to Manufacture</t>
  </si>
  <si>
    <t>Auto Loan</t>
  </si>
  <si>
    <t>Obtain Working Prototypes and Complete Bench Testing for Three Additional Devices (11, 12, 13)</t>
  </si>
  <si>
    <t>Utilities</t>
  </si>
  <si>
    <t xml:space="preserve">Identify and Recruit COO </t>
  </si>
  <si>
    <t>Assets</t>
  </si>
  <si>
    <t>Use of Cash</t>
  </si>
  <si>
    <t>Inventory Turnover</t>
  </si>
  <si>
    <t>Other</t>
  </si>
  <si>
    <t>Total Capital</t>
  </si>
  <si>
    <t>Household Goods</t>
  </si>
  <si>
    <t>Increase in Accounts Payable</t>
  </si>
  <si>
    <t>Rent and Utilities</t>
  </si>
  <si>
    <t>Main Ratios</t>
  </si>
  <si>
    <t>COO Salary</t>
  </si>
  <si>
    <t>Other Outflows</t>
  </si>
  <si>
    <t>Direct Unit Costs</t>
  </si>
  <si>
    <t>Current Debt/Total Assets</t>
  </si>
  <si>
    <t>Selling, General &amp; Administrative Expenses</t>
  </si>
  <si>
    <t>Repay Loans</t>
  </si>
  <si>
    <t xml:space="preserve">Acid Test </t>
  </si>
  <si>
    <t>***Obtain Working Prototypes and Complete Bench Testing for Initial Devices</t>
  </si>
  <si>
    <t>Mortgage</t>
  </si>
  <si>
    <t>Total Liabilities and Capital</t>
  </si>
  <si>
    <t>Long-term Interest Rate</t>
  </si>
  <si>
    <t>Increase in Accounts Receivable</t>
  </si>
  <si>
    <t>Total Debt to Total Assets</t>
  </si>
  <si>
    <t>Estimated Monthly Fixed Cost</t>
  </si>
  <si>
    <t>Manufacturer will have working prototypes for all 16 devices</t>
  </si>
  <si>
    <t>Investor</t>
  </si>
  <si>
    <t>Department</t>
  </si>
  <si>
    <t>****Implant Initial Devices in Patients</t>
  </si>
  <si>
    <t xml:space="preserve"> </t>
  </si>
  <si>
    <t>Start Date</t>
  </si>
  <si>
    <t>Legal</t>
  </si>
  <si>
    <t>Obtain Working Prototypes and Complete Bench Testing for Three Additional Devices (5, 6, 7)</t>
  </si>
  <si>
    <t>Pre-tax Return on Assets</t>
  </si>
  <si>
    <t>Beginning Balance</t>
  </si>
  <si>
    <t>Milestones</t>
  </si>
  <si>
    <t>Paid-in Capital</t>
  </si>
  <si>
    <t>Net Worth</t>
  </si>
  <si>
    <t>Use</t>
  </si>
  <si>
    <t>Notes:</t>
  </si>
  <si>
    <t>Purchase Other Assets</t>
  </si>
  <si>
    <t>New Investment</t>
  </si>
  <si>
    <t>Interest Coverage</t>
  </si>
  <si>
    <t>Other Current Liabilities (interest free)</t>
  </si>
  <si>
    <t>Total Planned Investment</t>
  </si>
  <si>
    <t>Current Borrowing</t>
  </si>
  <si>
    <t>Starting Balances</t>
  </si>
  <si>
    <t>Personnel Plan</t>
  </si>
  <si>
    <t>Milestone</t>
  </si>
  <si>
    <t>Accounts Payable (Outstanding Bills)</t>
  </si>
  <si>
    <t>Inserted Row</t>
  </si>
  <si>
    <t>Payroll and Payroll Taxes, Benefits, Etc.</t>
  </si>
  <si>
    <t>Total Liabilities</t>
  </si>
  <si>
    <t xml:space="preserve">  Taxes Incurred</t>
  </si>
  <si>
    <t>Total Long-term Assets</t>
  </si>
  <si>
    <t>Total Funding Required</t>
  </si>
  <si>
    <t>Current Interest Rate</t>
  </si>
  <si>
    <t>Pro Forma Cash Flow</t>
  </si>
  <si>
    <t>Long-term Liabilities</t>
  </si>
  <si>
    <t>Cash Balance on Starting Date</t>
  </si>
  <si>
    <t>ZipTie Menisc</t>
  </si>
  <si>
    <t>EBITDA</t>
  </si>
  <si>
    <t>Total Payroll</t>
  </si>
  <si>
    <t>People</t>
  </si>
  <si>
    <t>Balance</t>
  </si>
  <si>
    <t>Subtotal Money Received</t>
  </si>
  <si>
    <t>Salespeople/Clinical Educators</t>
  </si>
  <si>
    <t>Total Start-up Expenses</t>
  </si>
  <si>
    <t>Revenue from Operations Begins to be Recognized</t>
  </si>
  <si>
    <t>Average per Person</t>
  </si>
  <si>
    <t>Current</t>
  </si>
  <si>
    <t>Accounts Receivable Turnover</t>
  </si>
  <si>
    <t>Financials</t>
  </si>
  <si>
    <t>Accumulated Depreciation</t>
  </si>
  <si>
    <t>Obtain Working Prototypes and Complete Bench Testing for Three Additional Devices (8, 9, 10)</t>
  </si>
  <si>
    <t>Accounts Payable Turnover</t>
  </si>
  <si>
    <t>Balance Sheet</t>
  </si>
  <si>
    <t>Inventory</t>
  </si>
  <si>
    <t>Totals</t>
  </si>
  <si>
    <t>Sales Taxes (VAT/GST) Collected</t>
  </si>
  <si>
    <t>FDA Approval</t>
  </si>
  <si>
    <t>Marketing/Promotion</t>
  </si>
  <si>
    <t>Row 1</t>
  </si>
  <si>
    <t>Retained Earnings</t>
  </si>
  <si>
    <t>Operating Expenses</t>
  </si>
  <si>
    <t>Savings</t>
  </si>
  <si>
    <t>Net Cash Flow</t>
  </si>
  <si>
    <t>Checking</t>
  </si>
  <si>
    <t>Growth</t>
  </si>
  <si>
    <t>Average Per-Unit Revenue</t>
  </si>
  <si>
    <t>Current Liabilities</t>
  </si>
  <si>
    <t>Net Working Capital</t>
  </si>
  <si>
    <t>Telephone/Internet</t>
  </si>
  <si>
    <t>Receivables Turnover</t>
  </si>
  <si>
    <t xml:space="preserve">  Less Operating Expenses</t>
  </si>
  <si>
    <t>Subtotal Current Borrowing</t>
  </si>
  <si>
    <t>Depreciation</t>
  </si>
  <si>
    <t>Other Inputs</t>
  </si>
  <si>
    <t>Potential Customers</t>
  </si>
  <si>
    <t>Sales Tax Payment</t>
  </si>
  <si>
    <t>Market share forecast (%)</t>
  </si>
  <si>
    <t>Number of sutures per procedure</t>
  </si>
  <si>
    <t>Market size (number of procedures)</t>
  </si>
  <si>
    <t>Number of procedures using ZipTie</t>
  </si>
  <si>
    <t>Volume of procedures per surgeon</t>
  </si>
  <si>
    <t>Number of high-volume surgeons retained</t>
  </si>
  <si>
    <t>Number of procedures</t>
  </si>
  <si>
    <t>Number of sutures required</t>
  </si>
  <si>
    <t>Number of ultra-high-volume surgeons retained</t>
  </si>
  <si>
    <t>TOTAL NUMBER OF UNITS SOLD</t>
  </si>
  <si>
    <t>Price per suture ($)</t>
  </si>
  <si>
    <t>Number of units</t>
  </si>
  <si>
    <t>High profile surgeon consulting fee</t>
  </si>
  <si>
    <t>Total direct cost of sales</t>
  </si>
  <si>
    <t>Direct Cost of Sales</t>
  </si>
  <si>
    <t>Indirect Cost of Sales</t>
  </si>
  <si>
    <t>Independent distributor network sales fee</t>
  </si>
  <si>
    <t>Sales fee payable</t>
  </si>
  <si>
    <t>Total indirect cost of sales</t>
  </si>
  <si>
    <t>EBIT</t>
  </si>
  <si>
    <t>Total operating expenses</t>
  </si>
  <si>
    <t>As a % of revenue</t>
  </si>
  <si>
    <t>Gross Profit</t>
  </si>
  <si>
    <t>Gross Margin %</t>
  </si>
  <si>
    <t>Total Cost of Sales</t>
  </si>
  <si>
    <t>Revenue</t>
  </si>
  <si>
    <t>Production Payroll</t>
  </si>
  <si>
    <t>Other Costs of Sales</t>
  </si>
  <si>
    <t>EBITDA margin (%)</t>
  </si>
  <si>
    <t>Interest expense</t>
  </si>
  <si>
    <t>Short-term borrowings</t>
  </si>
  <si>
    <t>Long-term borrowings</t>
  </si>
  <si>
    <t>Total interest expense</t>
  </si>
  <si>
    <t>Tax</t>
  </si>
  <si>
    <t>PBT</t>
  </si>
  <si>
    <t>Tax loss carried forward</t>
  </si>
  <si>
    <t>Tax loss brought forward</t>
  </si>
  <si>
    <t>Actual tax payable</t>
  </si>
  <si>
    <t>Effective tax rate</t>
  </si>
  <si>
    <t>Net Profit Margin</t>
  </si>
  <si>
    <t>Days receivable</t>
  </si>
  <si>
    <t>Accounts receivable</t>
  </si>
  <si>
    <t>Days payable</t>
  </si>
  <si>
    <t>Costs not paid immediately</t>
  </si>
  <si>
    <t>Accounts payable</t>
  </si>
  <si>
    <t>Inventory days</t>
  </si>
  <si>
    <t>Decrease/(increase) in accounts receivable</t>
  </si>
  <si>
    <t>Increase/(decrease) in accounts payable</t>
  </si>
  <si>
    <t>Net cash flow from operations</t>
  </si>
  <si>
    <t>Decrease/(increase) in inventory</t>
  </si>
  <si>
    <t>Interest paid</t>
  </si>
  <si>
    <t>Net cash flow from returns on investment and sevicing of finance</t>
  </si>
  <si>
    <t>Capital expenditure</t>
  </si>
  <si>
    <t>Tax paid</t>
  </si>
  <si>
    <t>Net cash flow from financial investments</t>
  </si>
  <si>
    <t>Increase/(decrease) in cash for the period</t>
  </si>
  <si>
    <t>Balance brought forward</t>
  </si>
  <si>
    <t>Balance carried forward</t>
  </si>
  <si>
    <t>Returns on investment and servicing of finance</t>
  </si>
  <si>
    <t>Financial investments</t>
  </si>
  <si>
    <t>New equity</t>
  </si>
  <si>
    <t>Dividend</t>
  </si>
  <si>
    <t>Dividend payout</t>
  </si>
  <si>
    <t>Net profit</t>
  </si>
  <si>
    <t>Dividend paid</t>
  </si>
  <si>
    <t>Current loan amounts drawn</t>
  </si>
  <si>
    <t>Current loan amounts repaid</t>
  </si>
  <si>
    <t>Long-term loan amounts drawn</t>
  </si>
  <si>
    <t>Long-term loan amounts repaid</t>
  </si>
  <si>
    <t>Pro Forma P&amp;L</t>
  </si>
  <si>
    <t>Net Profit</t>
  </si>
  <si>
    <t>Revenue and COS</t>
  </si>
  <si>
    <t>Total Revenue</t>
  </si>
  <si>
    <t>TOTAL ROTATOR CUFF REVENUE</t>
  </si>
  <si>
    <t>TOTAL MENISCUS REVENUE</t>
  </si>
  <si>
    <t>TOTAL SUBSCAPULAR REVENUE</t>
  </si>
  <si>
    <t>Market growth (%)</t>
  </si>
  <si>
    <t>Calculations</t>
  </si>
  <si>
    <t>Total payroll</t>
  </si>
  <si>
    <t>Employees</t>
  </si>
  <si>
    <t>CEO</t>
  </si>
  <si>
    <t>COO</t>
  </si>
  <si>
    <t>Quantity</t>
  </si>
  <si>
    <t>Salary</t>
  </si>
  <si>
    <t>CEO cost</t>
  </si>
  <si>
    <t>COO cost</t>
  </si>
  <si>
    <t>Salespeople cost</t>
  </si>
  <si>
    <t>Admin personnel cost</t>
  </si>
  <si>
    <t>Payroll costs</t>
  </si>
  <si>
    <t>Social Security tax</t>
  </si>
  <si>
    <t>Medicare contribution</t>
  </si>
  <si>
    <t>Any other payroll taxes?</t>
  </si>
  <si>
    <t>Total payroll costs</t>
  </si>
  <si>
    <t>Professional fees</t>
  </si>
  <si>
    <t>Professional Fees</t>
  </si>
  <si>
    <t>OPERATING EXPENSES</t>
  </si>
  <si>
    <t>OTHER P&amp;L EXPENSES</t>
  </si>
  <si>
    <t>BALANCE SHEET</t>
  </si>
  <si>
    <t>Other professional fees</t>
  </si>
  <si>
    <t>Shareholding of high volume surgeons</t>
  </si>
  <si>
    <t>Dividend paid to high-volume surgeons</t>
  </si>
  <si>
    <t>Number of high-volume surgeons</t>
  </si>
  <si>
    <t>Dividend per high-volume surgeon</t>
  </si>
  <si>
    <t>Discounted Cash Flow</t>
  </si>
  <si>
    <t>Tax paid on EBIT</t>
  </si>
  <si>
    <t>Free Cash Flow</t>
  </si>
  <si>
    <t>Discount rate</t>
  </si>
  <si>
    <t>Investor return</t>
  </si>
  <si>
    <t>Equity invested</t>
  </si>
  <si>
    <t>NPV/EBITDA</t>
  </si>
  <si>
    <t>NPV/Revenue</t>
  </si>
  <si>
    <t>Exit EBITDA multiple</t>
  </si>
  <si>
    <t>Company value at exit</t>
  </si>
  <si>
    <t>Value of investors' stake</t>
  </si>
  <si>
    <t>Investors' stake</t>
  </si>
  <si>
    <t>Year of exit</t>
  </si>
  <si>
    <t>Exit value received</t>
  </si>
  <si>
    <t>Total investors' cash flows</t>
  </si>
  <si>
    <t>Investors' dividend received</t>
  </si>
  <si>
    <t>Cash-on-cash</t>
  </si>
  <si>
    <t>Net Present Value (10 years)</t>
  </si>
  <si>
    <t>Net Present Value (5 years)</t>
  </si>
  <si>
    <t>Implied shareholding for new investors</t>
  </si>
  <si>
    <t>Liability Insurance</t>
  </si>
  <si>
    <t>Consultancy fee</t>
  </si>
  <si>
    <t>High-volume surgeons consultancy fee</t>
  </si>
  <si>
    <t>High-Volume Surgeons Consultancy Fee</t>
  </si>
  <si>
    <t>Extensions to existing patents - PCT</t>
  </si>
  <si>
    <t>Extensions to existing patents - CIP</t>
  </si>
  <si>
    <t>Globalisation of existing patents</t>
  </si>
  <si>
    <t>Cost per region</t>
  </si>
  <si>
    <t>Number of new regions applied for</t>
  </si>
  <si>
    <t>Cost of globalising existing patents</t>
  </si>
  <si>
    <t>Further patents to monopolise market</t>
  </si>
  <si>
    <t>Number of new patents</t>
  </si>
  <si>
    <t>Total cost of new patents</t>
  </si>
  <si>
    <t>Cost per new patent</t>
  </si>
  <si>
    <t>Total patent costs</t>
  </si>
  <si>
    <t>Further potential unidentified patents</t>
  </si>
  <si>
    <t>Cost per prototype</t>
  </si>
  <si>
    <t>Number of prototypes currently envisaged</t>
  </si>
  <si>
    <t>Further future prototypes</t>
  </si>
  <si>
    <t>Total prototype costs</t>
  </si>
  <si>
    <t>Number of submissions</t>
  </si>
  <si>
    <t>Implementation of quality mgmt system</t>
  </si>
  <si>
    <t>Annual FDA registration fee</t>
  </si>
  <si>
    <t>Total FDA costs</t>
  </si>
  <si>
    <t>Unanticipated future submission costs</t>
  </si>
  <si>
    <t>Key Man Insurance</t>
  </si>
  <si>
    <t>Combined CEO and COO salaries</t>
  </si>
  <si>
    <t>Cost of Cover for CEO and COO</t>
  </si>
  <si>
    <t>Device Liability Insurance</t>
  </si>
  <si>
    <t>Revenue Growth (%)</t>
  </si>
  <si>
    <t>Per unit cost to manufacture suture captures</t>
  </si>
  <si>
    <t>Employee Benefits</t>
  </si>
  <si>
    <t>Number of employees</t>
  </si>
  <si>
    <t>Cost per employee</t>
  </si>
  <si>
    <t>Total Employee Benefits Cost</t>
  </si>
  <si>
    <t>Pre-money valuation</t>
  </si>
  <si>
    <t>Post-money valuation</t>
  </si>
  <si>
    <t>Investor's stake</t>
  </si>
  <si>
    <t>High-volume surgeons</t>
  </si>
  <si>
    <t>High-profile surgeon</t>
  </si>
  <si>
    <t>Stake remaining for Founder</t>
  </si>
  <si>
    <t>Shareholding calculations</t>
  </si>
  <si>
    <t>IT expenses</t>
  </si>
  <si>
    <t>TOTAL ANTERIOR CRUCIATE LIGAMENT REVENUE</t>
  </si>
  <si>
    <t>TOTAL SHOULDER DISLOCATION REVENUE</t>
  </si>
  <si>
    <t>ZipTie ACL</t>
  </si>
  <si>
    <t>ZipTie Shoulder Dislocation</t>
  </si>
  <si>
    <t>ZipTie Shoulder Bankart</t>
  </si>
  <si>
    <t>TOTAL SHOULDER BANKART REVENUE</t>
  </si>
  <si>
    <t>TOTAL SHOULDER SEPARATION  REVENUE</t>
  </si>
  <si>
    <t>TOTAL SYNDESMODIC ANKLE LIGAMENT REVENUE</t>
  </si>
  <si>
    <t>TOTAL PROXIMAL BICEPS TEDONESIS REVENUE</t>
  </si>
  <si>
    <t>TOTAL SHOULDER LABRUM REVENUE</t>
  </si>
  <si>
    <t>TOTAL SHOULDER CAPSULE REVENUE</t>
  </si>
  <si>
    <t>TOTAL HIP LABRUM REVENUE</t>
  </si>
  <si>
    <t>TOTAL MEDIAL PATELLOFEMORAL LIGAMENT REVENUE</t>
  </si>
  <si>
    <t>TOTAL MEDIAL COLLATERAL LIGAMENT REVENUE</t>
  </si>
  <si>
    <t>TOTAL DISTAL BICEPS TENDON REVENUE</t>
  </si>
  <si>
    <t>TOTAL LATERAL COLLATERAL KNEE LIGAMENT REVENUE</t>
  </si>
  <si>
    <t>ZipTie Shoulder Separation</t>
  </si>
  <si>
    <t>ZipTie Syndesmotic Ankle Ligament</t>
  </si>
  <si>
    <t>ZipTie Proximal Biceps Tedonesis</t>
  </si>
  <si>
    <t xml:space="preserve">ZipTie Shoulder Labrum </t>
  </si>
  <si>
    <t>ZipTie Hip Labrum</t>
  </si>
  <si>
    <t>ZipTie Shoulder Capsule</t>
  </si>
  <si>
    <t>ZipTie Medial Patellofemoral Ligament</t>
  </si>
  <si>
    <t>ZipTie Medial Collateral Ligament</t>
  </si>
  <si>
    <t>ZipTie Distal Biceps Tendon</t>
  </si>
  <si>
    <t>ZipTie Lateral Collateral Knee Ligament</t>
  </si>
  <si>
    <t>1. Rotator Cuff</t>
  </si>
  <si>
    <t>2. Meniscus</t>
  </si>
  <si>
    <t>3. Subscapular</t>
  </si>
  <si>
    <t xml:space="preserve">4. Anterior cruciate ligament </t>
  </si>
  <si>
    <t>5. Shoulder dislocation</t>
  </si>
  <si>
    <t>6. Shoulder Bankart</t>
  </si>
  <si>
    <t>7. Shoulder separation</t>
  </si>
  <si>
    <t>8. Syndesmotic ankle ligament</t>
  </si>
  <si>
    <t>9. Proximal biceps tedonesis</t>
  </si>
  <si>
    <t xml:space="preserve">10. Shoulder labrum </t>
  </si>
  <si>
    <t>11. Hip labrum</t>
  </si>
  <si>
    <t>12. Shoulder capsule</t>
  </si>
  <si>
    <t>13. Medial patellofemoral ligament</t>
  </si>
  <si>
    <t>14. Medial collateral ligament</t>
  </si>
  <si>
    <t>15. Distal biceps tendon</t>
  </si>
  <si>
    <t>16. Lateral collateral knee ligament</t>
  </si>
  <si>
    <t>High-volume surgeons' stake</t>
  </si>
  <si>
    <t>Value of high volume surgeon's stake</t>
  </si>
  <si>
    <t>High-volume surgeon's return</t>
  </si>
  <si>
    <t>High-volume surgeon's dividend received</t>
  </si>
  <si>
    <t>Total high-volume surgeon's cash flows</t>
  </si>
  <si>
    <t>Exit multiple</t>
  </si>
  <si>
    <t>Exit year</t>
  </si>
  <si>
    <t>High-Volume Surgeons</t>
  </si>
  <si>
    <t>EBITDA margin</t>
  </si>
  <si>
    <t>Total high-volume surgeon's cash flow</t>
  </si>
  <si>
    <t>CASH FLOW</t>
  </si>
  <si>
    <t>Capital Expenditure per new employee</t>
  </si>
  <si>
    <t>Number of new employees</t>
  </si>
  <si>
    <t>Total capital expenditure</t>
  </si>
  <si>
    <t>Depreciation period</t>
  </si>
  <si>
    <t>Depreciation per capex year</t>
  </si>
  <si>
    <t>Total depreciation</t>
  </si>
  <si>
    <t>2. Subscapular</t>
  </si>
  <si>
    <t>3. Meniscus</t>
  </si>
  <si>
    <t>ZipTie Meniscus</t>
  </si>
  <si>
    <t>Series A</t>
  </si>
  <si>
    <t>Series B</t>
  </si>
  <si>
    <t>Amount raised</t>
  </si>
  <si>
    <t>WB stake remaining (post HVS and HPS share)</t>
  </si>
  <si>
    <t>Use of Proceeds</t>
  </si>
  <si>
    <t>Staff Costs</t>
  </si>
  <si>
    <t>Capture mold manufacture</t>
  </si>
  <si>
    <t>Capture manufacture</t>
  </si>
  <si>
    <t>Shaft manufacture</t>
  </si>
  <si>
    <t>Handle manfucature</t>
  </si>
  <si>
    <t>Laser marking the shafts</t>
  </si>
  <si>
    <t>Beaded suture manufacture</t>
  </si>
  <si>
    <t>Anchor screw manufacture</t>
  </si>
  <si>
    <t>Ramses contingency</t>
  </si>
  <si>
    <t>Ramses sub total</t>
  </si>
  <si>
    <t>Maintenance fee</t>
  </si>
  <si>
    <t xml:space="preserve">Ongoing Intellectual Property (IP) exam </t>
  </si>
  <si>
    <t>CIP Capture</t>
  </si>
  <si>
    <t>Sub total for initial patents</t>
  </si>
  <si>
    <r>
      <t>Proof concept fee for 2</t>
    </r>
    <r>
      <rPr>
        <sz val="8"/>
        <rFont val="Verdana"/>
        <family val="2"/>
      </rPr>
      <t>nd</t>
    </r>
    <r>
      <rPr>
        <sz val="10"/>
        <rFont val="Verdana"/>
        <family val="2"/>
      </rPr>
      <t xml:space="preserve"> generation screws</t>
    </r>
  </si>
  <si>
    <t>FDA user fee</t>
  </si>
  <si>
    <t>Audit fees</t>
  </si>
  <si>
    <t>Assistance and compliance for 510k</t>
  </si>
  <si>
    <t>Activation assiatance for quality mgmt system</t>
  </si>
  <si>
    <t>Activation of quality mgmt system in Mexico</t>
  </si>
  <si>
    <t>Prototype Cost</t>
  </si>
  <si>
    <t>Patent Costs to cover Oct 2012 to Mar 2014</t>
  </si>
  <si>
    <t>Prototype Cost to cover Oct 2012 to Mar 2014</t>
  </si>
  <si>
    <t>FDA Approval to cover Oct 2012 to Mar 2014</t>
  </si>
  <si>
    <t>Two Sales/Clinical Educators to cover Jul 2013 to Mar 2014</t>
  </si>
  <si>
    <t>Payroll to cover Jan 2013 to Mar 2014</t>
  </si>
  <si>
    <t>Employee Benefits to cover Jan 2013 to Mar 2014</t>
  </si>
  <si>
    <t>IT expenses (web platform etc) to cover Jan 2013 to Mar 2014</t>
  </si>
  <si>
    <t>Office Equipment &amp; Software  to cover Jan 2013 to Mar 2014</t>
  </si>
  <si>
    <t>High-End Sarasota Office Space (Rent) to cover Jan 2013 to Mar 2014</t>
  </si>
  <si>
    <t>Office Supplies to cover Jan 2013 to Mar 2014</t>
  </si>
  <si>
    <t>Marketing to cover Jan 2013 to Mar 2014</t>
  </si>
  <si>
    <t>Utilities to cover Jan 2013 to Mar 2014</t>
  </si>
  <si>
    <t>Telephone/Internet to cover Jan 2013 to Mar 2014</t>
  </si>
  <si>
    <t>Key man insurance to cover Jan 2013 to Mar 2014</t>
  </si>
  <si>
    <t>Device liability insurance to cover Jan 2013 to Mar 2014</t>
  </si>
  <si>
    <t>Other General Operating Expenses</t>
  </si>
  <si>
    <t>Other Costs</t>
  </si>
  <si>
    <t>Long Term Assets</t>
  </si>
  <si>
    <t>Total Other Costs</t>
  </si>
  <si>
    <t>COO Salary to cover Jan 2014 to Mar 2014</t>
  </si>
  <si>
    <t>Admin staff to cover Jan 2013 to Mar 2014</t>
  </si>
  <si>
    <t>CEO Salary to cover Jan 2013 to Mar 2014</t>
  </si>
  <si>
    <t>$2,000,000 less $100,000 fees paid directly for a 22.5% equity stake in Ziptek</t>
  </si>
  <si>
    <t>Revenue (millions)</t>
  </si>
  <si>
    <t>EBITDA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</si>
</sst>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"/>
    <numFmt numFmtId="165" formatCode="0_)"/>
    <numFmt numFmtId="166" formatCode="#,##0_);[Red]\-#,##0_)"/>
    <numFmt numFmtId="167" formatCode="#,##0.00_);[Red]\-#,##0.00_)"/>
    <numFmt numFmtId="168" formatCode="0.00%_)"/>
    <numFmt numFmtId="169" formatCode="0%_)"/>
    <numFmt numFmtId="170" formatCode="_(&quot;$&quot;* #,##0_);_(&quot;$&quot;* \(#,##0\);_(&quot;$&quot;* &quot;-&quot;??_);_(@_)"/>
    <numFmt numFmtId="171" formatCode="#,##0.0"/>
    <numFmt numFmtId="172" formatCode="0.0%"/>
    <numFmt numFmtId="173" formatCode="[$$-409]#,##0"/>
    <numFmt numFmtId="174" formatCode="0.0%_)"/>
    <numFmt numFmtId="175" formatCode="0.0\x"/>
    <numFmt numFmtId="176" formatCode="#,##0;[Red]#,##0"/>
    <numFmt numFmtId="177" formatCode="_(* #,##0_);_(* \(#,##0\);_(* &quot;-&quot;??_);_(@_)"/>
    <numFmt numFmtId="178" formatCode="&quot;£&quot;#,##0"/>
  </numFmts>
  <fonts count="50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color indexed="10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2"/>
      <color indexed="9"/>
      <name val="Verdana"/>
      <family val="2"/>
    </font>
    <font>
      <sz val="12"/>
      <color indexed="9"/>
      <name val="Verdana"/>
      <family val="2"/>
    </font>
    <font>
      <sz val="12"/>
      <name val="Verdana"/>
      <family val="2"/>
    </font>
    <font>
      <sz val="12"/>
      <color indexed="9"/>
      <name val="Arial Black"/>
      <family val="2"/>
    </font>
    <font>
      <b/>
      <sz val="12"/>
      <color indexed="9"/>
      <name val="Arial Black"/>
      <family val="2"/>
    </font>
    <font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b/>
      <sz val="10"/>
      <color indexed="12"/>
      <name val="Verdana"/>
      <family val="2"/>
    </font>
    <font>
      <sz val="12"/>
      <color indexed="12"/>
      <name val="Verdan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2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i/>
      <sz val="10"/>
      <color indexed="12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i/>
      <sz val="10"/>
      <color rgb="FF0000FF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  <family val="2"/>
    </font>
    <font>
      <b/>
      <sz val="10"/>
      <color theme="0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24" fillId="3" borderId="0" applyNumberFormat="0" applyBorder="0" applyAlignment="0" applyProtection="0"/>
    <xf numFmtId="0" fontId="28" fillId="20" borderId="1" applyNumberFormat="0" applyAlignment="0" applyProtection="0"/>
    <xf numFmtId="0" fontId="30" fillId="21" borderId="2" applyNumberFormat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6" fillId="7" borderId="1" applyNumberFormat="0" applyAlignment="0" applyProtection="0"/>
    <xf numFmtId="0" fontId="29" fillId="0" borderId="6" applyNumberFormat="0" applyFill="0" applyAlignment="0" applyProtection="0"/>
    <xf numFmtId="0" fontId="25" fillId="22" borderId="0" applyNumberFormat="0" applyBorder="0" applyAlignment="0" applyProtection="0"/>
    <xf numFmtId="0" fontId="2" fillId="23" borderId="7" applyNumberFormat="0" applyFont="0" applyAlignment="0" applyProtection="0"/>
    <xf numFmtId="0" fontId="27" fillId="20" borderId="8" applyNumberFormat="0" applyAlignment="0" applyProtection="0"/>
    <xf numFmtId="9" fontId="1" fillId="0" borderId="0" applyFont="0" applyFill="0" applyBorder="0" applyAlignment="0" applyProtection="0"/>
  </cellStyleXfs>
  <cellXfs count="1045">
    <xf numFmtId="0" fontId="0" fillId="0" borderId="0" xfId="0"/>
    <xf numFmtId="0" fontId="2" fillId="0" borderId="0" xfId="0" applyFont="1"/>
    <xf numFmtId="0" fontId="10" fillId="24" borderId="9" xfId="0" applyFont="1" applyFill="1" applyBorder="1"/>
    <xf numFmtId="0" fontId="4" fillId="24" borderId="10" xfId="0" applyFont="1" applyFill="1" applyBorder="1"/>
    <xf numFmtId="164" fontId="4" fillId="24" borderId="10" xfId="0" applyNumberFormat="1" applyFont="1" applyFill="1" applyBorder="1"/>
    <xf numFmtId="5" fontId="4" fillId="24" borderId="11" xfId="0" applyNumberFormat="1" applyFont="1" applyFill="1" applyBorder="1"/>
    <xf numFmtId="5" fontId="4" fillId="24" borderId="10" xfId="0" applyNumberFormat="1" applyFont="1" applyFill="1" applyBorder="1"/>
    <xf numFmtId="0" fontId="4" fillId="24" borderId="11" xfId="0" applyFont="1" applyFill="1" applyBorder="1"/>
    <xf numFmtId="0" fontId="7" fillId="24" borderId="12" xfId="0" applyFont="1" applyFill="1" applyBorder="1"/>
    <xf numFmtId="0" fontId="4" fillId="24" borderId="13" xfId="0" applyFont="1" applyFill="1" applyBorder="1" applyAlignment="1">
      <alignment horizontal="right"/>
    </xf>
    <xf numFmtId="164" fontId="7" fillId="24" borderId="13" xfId="0" applyNumberFormat="1" applyFont="1" applyFill="1" applyBorder="1" applyAlignment="1">
      <alignment horizontal="right"/>
    </xf>
    <xf numFmtId="1" fontId="7" fillId="24" borderId="14" xfId="0" applyNumberFormat="1" applyFont="1" applyFill="1" applyBorder="1" applyAlignment="1">
      <alignment horizontal="right"/>
    </xf>
    <xf numFmtId="0" fontId="7" fillId="24" borderId="13" xfId="0" applyFont="1" applyFill="1" applyBorder="1" applyAlignment="1">
      <alignment horizontal="right"/>
    </xf>
    <xf numFmtId="1" fontId="7" fillId="24" borderId="13" xfId="0" applyNumberFormat="1" applyFont="1" applyFill="1" applyBorder="1" applyAlignment="1">
      <alignment horizontal="right"/>
    </xf>
    <xf numFmtId="0" fontId="2" fillId="0" borderId="15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16" xfId="0" applyNumberFormat="1" applyFont="1" applyFill="1" applyBorder="1" applyAlignment="1" applyProtection="1">
      <alignment horizontal="right"/>
    </xf>
    <xf numFmtId="0" fontId="2" fillId="0" borderId="17" xfId="0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0" fontId="2" fillId="0" borderId="15" xfId="0" applyFont="1" applyBorder="1"/>
    <xf numFmtId="0" fontId="2" fillId="0" borderId="0" xfId="0" applyFont="1" applyBorder="1"/>
    <xf numFmtId="10" fontId="2" fillId="0" borderId="0" xfId="0" applyNumberFormat="1" applyFont="1" applyBorder="1"/>
    <xf numFmtId="0" fontId="2" fillId="0" borderId="0" xfId="0" applyNumberFormat="1" applyFont="1" applyFill="1" applyBorder="1" applyAlignment="1" applyProtection="1"/>
    <xf numFmtId="0" fontId="4" fillId="24" borderId="10" xfId="0" applyFont="1" applyFill="1" applyBorder="1" applyProtection="1"/>
    <xf numFmtId="0" fontId="4" fillId="24" borderId="13" xfId="0" applyFont="1" applyFill="1" applyBorder="1" applyAlignment="1" applyProtection="1">
      <alignment horizontal="right"/>
    </xf>
    <xf numFmtId="0" fontId="6" fillId="20" borderId="12" xfId="0" applyFont="1" applyFill="1" applyBorder="1"/>
    <xf numFmtId="0" fontId="2" fillId="20" borderId="13" xfId="0" applyFont="1" applyFill="1" applyBorder="1" applyProtection="1"/>
    <xf numFmtId="5" fontId="2" fillId="20" borderId="14" xfId="0" applyNumberFormat="1" applyFont="1" applyFill="1" applyBorder="1"/>
    <xf numFmtId="0" fontId="2" fillId="20" borderId="13" xfId="0" applyFont="1" applyFill="1" applyBorder="1"/>
    <xf numFmtId="0" fontId="0" fillId="0" borderId="15" xfId="0" applyBorder="1"/>
    <xf numFmtId="6" fontId="0" fillId="0" borderId="17" xfId="0" applyNumberFormat="1" applyBorder="1"/>
    <xf numFmtId="0" fontId="0" fillId="0" borderId="17" xfId="0" applyBorder="1"/>
    <xf numFmtId="0" fontId="0" fillId="0" borderId="0" xfId="0" applyBorder="1"/>
    <xf numFmtId="0" fontId="3" fillId="0" borderId="18" xfId="0" applyFont="1" applyBorder="1"/>
    <xf numFmtId="0" fontId="2" fillId="0" borderId="0" xfId="0" applyFont="1" applyFill="1"/>
    <xf numFmtId="0" fontId="6" fillId="0" borderId="15" xfId="0" applyFont="1" applyFill="1" applyBorder="1"/>
    <xf numFmtId="0" fontId="2" fillId="0" borderId="0" xfId="0" applyFont="1" applyFill="1" applyBorder="1" applyProtection="1"/>
    <xf numFmtId="6" fontId="2" fillId="0" borderId="0" xfId="0" applyNumberFormat="1" applyFont="1" applyFill="1" applyBorder="1"/>
    <xf numFmtId="0" fontId="0" fillId="0" borderId="0" xfId="0" applyFill="1"/>
    <xf numFmtId="0" fontId="3" fillId="0" borderId="12" xfId="0" applyFont="1" applyFill="1" applyBorder="1"/>
    <xf numFmtId="0" fontId="2" fillId="0" borderId="13" xfId="0" applyFont="1" applyFill="1" applyBorder="1" applyAlignment="1" applyProtection="1">
      <alignment horizontal="right"/>
    </xf>
    <xf numFmtId="6" fontId="3" fillId="0" borderId="13" xfId="0" applyNumberFormat="1" applyFont="1" applyFill="1" applyBorder="1" applyAlignment="1">
      <alignment horizontal="right"/>
    </xf>
    <xf numFmtId="1" fontId="3" fillId="0" borderId="14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/>
    </xf>
    <xf numFmtId="6" fontId="2" fillId="0" borderId="0" xfId="0" applyNumberFormat="1" applyFont="1" applyFill="1" applyBorder="1" applyAlignment="1" applyProtection="1">
      <alignment horizontal="right"/>
    </xf>
    <xf numFmtId="6" fontId="2" fillId="0" borderId="17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" fillId="0" borderId="15" xfId="0" applyFont="1" applyBorder="1"/>
    <xf numFmtId="0" fontId="6" fillId="20" borderId="19" xfId="0" applyFont="1" applyFill="1" applyBorder="1"/>
    <xf numFmtId="5" fontId="2" fillId="0" borderId="0" xfId="0" applyNumberFormat="1" applyFont="1"/>
    <xf numFmtId="0" fontId="4" fillId="24" borderId="20" xfId="0" applyFont="1" applyFill="1" applyBorder="1"/>
    <xf numFmtId="0" fontId="4" fillId="24" borderId="21" xfId="0" applyFont="1" applyFill="1" applyBorder="1"/>
    <xf numFmtId="7" fontId="4" fillId="24" borderId="22" xfId="0" applyNumberFormat="1" applyFont="1" applyFill="1" applyBorder="1" applyAlignment="1">
      <alignment horizontal="right"/>
    </xf>
    <xf numFmtId="0" fontId="2" fillId="0" borderId="15" xfId="0" applyFont="1" applyFill="1" applyBorder="1"/>
    <xf numFmtId="7" fontId="2" fillId="0" borderId="0" xfId="0" applyNumberFormat="1" applyFont="1"/>
    <xf numFmtId="5" fontId="2" fillId="0" borderId="17" xfId="0" applyNumberFormat="1" applyFont="1" applyBorder="1" applyAlignment="1">
      <alignment horizontal="right"/>
    </xf>
    <xf numFmtId="0" fontId="4" fillId="0" borderId="0" xfId="0" applyFont="1"/>
    <xf numFmtId="0" fontId="2" fillId="0" borderId="17" xfId="0" applyFont="1" applyBorder="1" applyAlignment="1">
      <alignment horizontal="right"/>
    </xf>
    <xf numFmtId="0" fontId="4" fillId="0" borderId="0" xfId="0" applyFont="1" applyBorder="1"/>
    <xf numFmtId="0" fontId="2" fillId="20" borderId="14" xfId="0" applyFont="1" applyFill="1" applyBorder="1" applyAlignment="1">
      <alignment horizontal="right"/>
    </xf>
    <xf numFmtId="0" fontId="2" fillId="0" borderId="23" xfId="0" applyFont="1" applyBorder="1"/>
    <xf numFmtId="0" fontId="2" fillId="19" borderId="24" xfId="0" applyFont="1" applyFill="1" applyBorder="1"/>
    <xf numFmtId="0" fontId="2" fillId="19" borderId="25" xfId="0" applyFont="1" applyFill="1" applyBorder="1"/>
    <xf numFmtId="0" fontId="2" fillId="19" borderId="26" xfId="0" applyFont="1" applyFill="1" applyBorder="1"/>
    <xf numFmtId="0" fontId="2" fillId="19" borderId="15" xfId="0" applyFont="1" applyFill="1" applyBorder="1"/>
    <xf numFmtId="5" fontId="2" fillId="19" borderId="17" xfId="0" applyNumberFormat="1" applyFont="1" applyFill="1" applyBorder="1" applyAlignment="1">
      <alignment horizontal="center"/>
    </xf>
    <xf numFmtId="0" fontId="2" fillId="19" borderId="23" xfId="0" applyFont="1" applyFill="1" applyBorder="1"/>
    <xf numFmtId="0" fontId="7" fillId="24" borderId="10" xfId="0" applyFont="1" applyFill="1" applyBorder="1" applyAlignment="1">
      <alignment horizontal="right"/>
    </xf>
    <xf numFmtId="0" fontId="4" fillId="24" borderId="10" xfId="0" applyFont="1" applyFill="1" applyBorder="1" applyAlignment="1">
      <alignment horizontal="right"/>
    </xf>
    <xf numFmtId="0" fontId="4" fillId="24" borderId="11" xfId="0" applyFont="1" applyFill="1" applyBorder="1" applyAlignment="1">
      <alignment horizontal="right"/>
    </xf>
    <xf numFmtId="3" fontId="2" fillId="0" borderId="0" xfId="0" applyNumberFormat="1" applyFont="1"/>
    <xf numFmtId="0" fontId="7" fillId="24" borderId="15" xfId="0" applyFont="1" applyFill="1" applyBorder="1"/>
    <xf numFmtId="0" fontId="7" fillId="24" borderId="0" xfId="0" applyFont="1" applyFill="1" applyBorder="1" applyAlignment="1">
      <alignment horizontal="right"/>
    </xf>
    <xf numFmtId="0" fontId="4" fillId="24" borderId="17" xfId="0" applyFont="1" applyFill="1" applyBorder="1" applyAlignment="1">
      <alignment horizontal="right"/>
    </xf>
    <xf numFmtId="0" fontId="2" fillId="20" borderId="13" xfId="0" applyFont="1" applyFill="1" applyBorder="1" applyAlignment="1" applyProtection="1">
      <alignment horizontal="right"/>
    </xf>
    <xf numFmtId="0" fontId="12" fillId="0" borderId="0" xfId="0" applyFont="1"/>
    <xf numFmtId="0" fontId="10" fillId="24" borderId="9" xfId="0" applyNumberFormat="1" applyFont="1" applyFill="1" applyBorder="1"/>
    <xf numFmtId="0" fontId="11" fillId="24" borderId="10" xfId="0" applyFont="1" applyFill="1" applyBorder="1" applyAlignment="1">
      <alignment horizontal="right"/>
    </xf>
    <xf numFmtId="0" fontId="10" fillId="24" borderId="10" xfId="0" applyFont="1" applyFill="1" applyBorder="1" applyAlignment="1">
      <alignment horizontal="right"/>
    </xf>
    <xf numFmtId="5" fontId="11" fillId="24" borderId="11" xfId="0" applyNumberFormat="1" applyFont="1" applyFill="1" applyBorder="1" applyAlignment="1">
      <alignment horizontal="right"/>
    </xf>
    <xf numFmtId="5" fontId="11" fillId="24" borderId="1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7" fillId="24" borderId="12" xfId="0" applyNumberFormat="1" applyFont="1" applyFill="1" applyBorder="1"/>
    <xf numFmtId="0" fontId="6" fillId="20" borderId="12" xfId="0" applyNumberFormat="1" applyFont="1" applyFill="1" applyBorder="1"/>
    <xf numFmtId="0" fontId="2" fillId="20" borderId="13" xfId="0" applyFont="1" applyFill="1" applyBorder="1" applyAlignment="1">
      <alignment horizontal="right"/>
    </xf>
    <xf numFmtId="164" fontId="2" fillId="20" borderId="13" xfId="0" applyNumberFormat="1" applyFont="1" applyFill="1" applyBorder="1" applyAlignment="1">
      <alignment horizontal="right"/>
    </xf>
    <xf numFmtId="1" fontId="2" fillId="20" borderId="14" xfId="0" applyNumberFormat="1" applyFont="1" applyFill="1" applyBorder="1" applyAlignment="1">
      <alignment horizontal="right"/>
    </xf>
    <xf numFmtId="1" fontId="2" fillId="20" borderId="13" xfId="0" applyNumberFormat="1" applyFont="1" applyFill="1" applyBorder="1" applyAlignment="1">
      <alignment horizontal="right"/>
    </xf>
    <xf numFmtId="6" fontId="8" fillId="0" borderId="17" xfId="0" applyNumberFormat="1" applyFont="1" applyBorder="1" applyAlignment="1" applyProtection="1">
      <alignment horizontal="right"/>
    </xf>
    <xf numFmtId="9" fontId="2" fillId="0" borderId="27" xfId="0" applyNumberFormat="1" applyFont="1" applyBorder="1" applyProtection="1"/>
    <xf numFmtId="6" fontId="2" fillId="0" borderId="27" xfId="0" applyNumberFormat="1" applyFont="1" applyBorder="1" applyAlignment="1" applyProtection="1">
      <alignment horizontal="right"/>
    </xf>
    <xf numFmtId="6" fontId="2" fillId="0" borderId="16" xfId="0" applyNumberFormat="1" applyFont="1" applyBorder="1" applyAlignment="1" applyProtection="1">
      <alignment horizontal="right"/>
    </xf>
    <xf numFmtId="9" fontId="2" fillId="0" borderId="0" xfId="0" applyNumberFormat="1" applyFont="1" applyBorder="1" applyProtection="1"/>
    <xf numFmtId="6" fontId="2" fillId="0" borderId="0" xfId="0" applyNumberFormat="1" applyFont="1" applyBorder="1" applyAlignment="1" applyProtection="1">
      <alignment horizontal="right"/>
    </xf>
    <xf numFmtId="6" fontId="2" fillId="0" borderId="17" xfId="0" applyNumberFormat="1" applyFont="1" applyBorder="1" applyAlignment="1" applyProtection="1">
      <alignment horizontal="right"/>
    </xf>
    <xf numFmtId="9" fontId="2" fillId="0" borderId="13" xfId="0" applyNumberFormat="1" applyFont="1" applyBorder="1" applyProtection="1"/>
    <xf numFmtId="6" fontId="2" fillId="0" borderId="13" xfId="0" applyNumberFormat="1" applyFont="1" applyBorder="1" applyAlignment="1" applyProtection="1">
      <alignment horizontal="right"/>
    </xf>
    <xf numFmtId="6" fontId="2" fillId="0" borderId="14" xfId="0" applyNumberFormat="1" applyFont="1" applyBorder="1" applyAlignment="1" applyProtection="1">
      <alignment horizontal="right"/>
    </xf>
    <xf numFmtId="0" fontId="3" fillId="0" borderId="18" xfId="0" applyNumberFormat="1" applyFont="1" applyFill="1" applyBorder="1"/>
    <xf numFmtId="6" fontId="2" fillId="0" borderId="27" xfId="0" applyNumberFormat="1" applyFont="1" applyFill="1" applyBorder="1" applyAlignment="1">
      <alignment horizontal="right"/>
    </xf>
    <xf numFmtId="6" fontId="2" fillId="0" borderId="16" xfId="0" applyNumberFormat="1" applyFont="1" applyFill="1" applyBorder="1" applyAlignment="1">
      <alignment horizontal="right"/>
    </xf>
    <xf numFmtId="0" fontId="2" fillId="0" borderId="15" xfId="0" applyNumberFormat="1" applyFont="1" applyBorder="1"/>
    <xf numFmtId="6" fontId="2" fillId="0" borderId="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1" fontId="2" fillId="20" borderId="12" xfId="0" applyNumberFormat="1" applyFont="1" applyFill="1" applyBorder="1" applyAlignment="1">
      <alignment horizontal="right"/>
    </xf>
    <xf numFmtId="0" fontId="3" fillId="0" borderId="19" xfId="0" applyNumberFormat="1" applyFont="1" applyFill="1" applyBorder="1"/>
    <xf numFmtId="6" fontId="2" fillId="0" borderId="28" xfId="0" applyNumberFormat="1" applyFont="1" applyFill="1" applyBorder="1" applyAlignment="1">
      <alignment horizontal="right"/>
    </xf>
    <xf numFmtId="6" fontId="2" fillId="0" borderId="29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5" fontId="2" fillId="0" borderId="10" xfId="0" applyNumberFormat="1" applyFont="1" applyBorder="1" applyAlignment="1">
      <alignment horizontal="right"/>
    </xf>
    <xf numFmtId="0" fontId="2" fillId="0" borderId="0" xfId="0" applyNumberFormat="1" applyFont="1"/>
    <xf numFmtId="0" fontId="2" fillId="0" borderId="30" xfId="0" applyFont="1" applyFill="1" applyBorder="1" applyAlignment="1">
      <alignment horizontal="right"/>
    </xf>
    <xf numFmtId="5" fontId="2" fillId="0" borderId="31" xfId="0" applyNumberFormat="1" applyFont="1" applyFill="1" applyBorder="1" applyAlignment="1">
      <alignment horizontal="right"/>
    </xf>
    <xf numFmtId="5" fontId="2" fillId="0" borderId="0" xfId="0" applyNumberFormat="1" applyFont="1" applyFill="1" applyBorder="1" applyAlignment="1">
      <alignment horizontal="right"/>
    </xf>
    <xf numFmtId="5" fontId="2" fillId="0" borderId="3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24" borderId="11" xfId="0" applyFont="1" applyFill="1" applyBorder="1" applyAlignment="1">
      <alignment horizontal="right"/>
    </xf>
    <xf numFmtId="0" fontId="12" fillId="0" borderId="0" xfId="0" applyFont="1" applyBorder="1"/>
    <xf numFmtId="38" fontId="2" fillId="0" borderId="27" xfId="0" applyNumberFormat="1" applyFont="1" applyFill="1" applyBorder="1" applyAlignment="1">
      <alignment horizontal="right"/>
    </xf>
    <xf numFmtId="5" fontId="2" fillId="0" borderId="0" xfId="0" applyNumberFormat="1" applyFont="1" applyBorder="1" applyAlignment="1">
      <alignment horizontal="right"/>
    </xf>
    <xf numFmtId="8" fontId="2" fillId="0" borderId="17" xfId="0" applyNumberFormat="1" applyFont="1" applyBorder="1" applyAlignment="1">
      <alignment horizontal="right"/>
    </xf>
    <xf numFmtId="8" fontId="2" fillId="0" borderId="27" xfId="0" applyNumberFormat="1" applyFont="1" applyBorder="1" applyAlignment="1" applyProtection="1">
      <alignment horizontal="right"/>
    </xf>
    <xf numFmtId="8" fontId="2" fillId="0" borderId="16" xfId="0" applyNumberFormat="1" applyFont="1" applyBorder="1" applyAlignment="1" applyProtection="1">
      <alignment horizontal="right"/>
    </xf>
    <xf numFmtId="8" fontId="2" fillId="0" borderId="18" xfId="0" applyNumberFormat="1" applyFont="1" applyBorder="1" applyAlignment="1" applyProtection="1">
      <alignment horizontal="right"/>
    </xf>
    <xf numFmtId="8" fontId="2" fillId="0" borderId="0" xfId="0" applyNumberFormat="1" applyFont="1" applyBorder="1" applyAlignment="1" applyProtection="1">
      <alignment horizontal="right"/>
    </xf>
    <xf numFmtId="8" fontId="2" fillId="0" borderId="17" xfId="0" applyNumberFormat="1" applyFont="1" applyBorder="1" applyAlignment="1" applyProtection="1">
      <alignment horizontal="right"/>
    </xf>
    <xf numFmtId="8" fontId="2" fillId="0" borderId="15" xfId="0" applyNumberFormat="1" applyFont="1" applyBorder="1" applyAlignment="1" applyProtection="1">
      <alignment horizontal="right"/>
    </xf>
    <xf numFmtId="0" fontId="2" fillId="0" borderId="15" xfId="0" applyNumberFormat="1" applyFont="1" applyBorder="1" applyProtection="1"/>
    <xf numFmtId="0" fontId="3" fillId="0" borderId="15" xfId="0" applyNumberFormat="1" applyFont="1" applyBorder="1"/>
    <xf numFmtId="0" fontId="2" fillId="0" borderId="0" xfId="0" applyFont="1" applyBorder="1" applyAlignment="1" applyProtection="1">
      <alignment horizontal="right"/>
    </xf>
    <xf numFmtId="9" fontId="2" fillId="0" borderId="0" xfId="0" applyNumberFormat="1" applyFont="1"/>
    <xf numFmtId="9" fontId="4" fillId="24" borderId="10" xfId="0" applyNumberFormat="1" applyFont="1" applyFill="1" applyBorder="1" applyAlignment="1">
      <alignment horizontal="right"/>
    </xf>
    <xf numFmtId="5" fontId="4" fillId="24" borderId="11" xfId="0" applyNumberFormat="1" applyFont="1" applyFill="1" applyBorder="1" applyAlignment="1">
      <alignment horizontal="right"/>
    </xf>
    <xf numFmtId="5" fontId="4" fillId="24" borderId="10" xfId="0" applyNumberFormat="1" applyFont="1" applyFill="1" applyBorder="1" applyAlignment="1">
      <alignment horizontal="right"/>
    </xf>
    <xf numFmtId="0" fontId="4" fillId="24" borderId="9" xfId="0" applyFont="1" applyFill="1" applyBorder="1" applyAlignment="1">
      <alignment horizontal="right"/>
    </xf>
    <xf numFmtId="9" fontId="4" fillId="24" borderId="13" xfId="0" applyNumberFormat="1" applyFont="1" applyFill="1" applyBorder="1" applyAlignment="1">
      <alignment horizontal="right"/>
    </xf>
    <xf numFmtId="1" fontId="7" fillId="24" borderId="12" xfId="0" applyNumberFormat="1" applyFont="1" applyFill="1" applyBorder="1" applyAlignment="1">
      <alignment horizontal="right"/>
    </xf>
    <xf numFmtId="0" fontId="3" fillId="0" borderId="23" xfId="0" applyFont="1" applyBorder="1"/>
    <xf numFmtId="6" fontId="2" fillId="0" borderId="31" xfId="0" applyNumberFormat="1" applyFont="1" applyBorder="1" applyAlignment="1">
      <alignment horizontal="right"/>
    </xf>
    <xf numFmtId="5" fontId="2" fillId="0" borderId="25" xfId="0" applyNumberFormat="1" applyFont="1" applyBorder="1" applyAlignment="1">
      <alignment horizontal="right"/>
    </xf>
    <xf numFmtId="1" fontId="2" fillId="0" borderId="16" xfId="0" applyNumberFormat="1" applyFont="1" applyBorder="1" applyAlignment="1">
      <alignment horizontal="right"/>
    </xf>
    <xf numFmtId="0" fontId="3" fillId="0" borderId="15" xfId="0" applyFont="1" applyBorder="1" applyProtection="1"/>
    <xf numFmtId="1" fontId="3" fillId="0" borderId="14" xfId="0" applyNumberFormat="1" applyFont="1" applyBorder="1" applyAlignment="1" applyProtection="1">
      <alignment horizontal="right"/>
    </xf>
    <xf numFmtId="1" fontId="3" fillId="0" borderId="13" xfId="0" applyNumberFormat="1" applyFont="1" applyBorder="1" applyAlignment="1" applyProtection="1">
      <alignment horizontal="right"/>
    </xf>
    <xf numFmtId="9" fontId="2" fillId="20" borderId="32" xfId="0" applyNumberFormat="1" applyFont="1" applyFill="1" applyBorder="1" applyAlignment="1">
      <alignment horizontal="right"/>
    </xf>
    <xf numFmtId="6" fontId="2" fillId="20" borderId="32" xfId="0" applyNumberFormat="1" applyFont="1" applyFill="1" applyBorder="1" applyAlignment="1">
      <alignment horizontal="right"/>
    </xf>
    <xf numFmtId="6" fontId="2" fillId="20" borderId="33" xfId="0" applyNumberFormat="1" applyFont="1" applyFill="1" applyBorder="1" applyAlignment="1">
      <alignment horizontal="right"/>
    </xf>
    <xf numFmtId="6" fontId="2" fillId="20" borderId="34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5" fontId="3" fillId="0" borderId="17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9" fontId="4" fillId="20" borderId="13" xfId="0" applyNumberFormat="1" applyFont="1" applyFill="1" applyBorder="1" applyAlignment="1">
      <alignment horizontal="right"/>
    </xf>
    <xf numFmtId="164" fontId="7" fillId="20" borderId="13" xfId="0" applyNumberFormat="1" applyFont="1" applyFill="1" applyBorder="1" applyAlignment="1">
      <alignment horizontal="right"/>
    </xf>
    <xf numFmtId="1" fontId="7" fillId="20" borderId="14" xfId="0" applyNumberFormat="1" applyFont="1" applyFill="1" applyBorder="1" applyAlignment="1">
      <alignment horizontal="right"/>
    </xf>
    <xf numFmtId="0" fontId="7" fillId="20" borderId="13" xfId="0" applyFont="1" applyFill="1" applyBorder="1" applyAlignment="1">
      <alignment horizontal="right"/>
    </xf>
    <xf numFmtId="1" fontId="7" fillId="20" borderId="12" xfId="0" applyNumberFormat="1" applyFont="1" applyFill="1" applyBorder="1" applyAlignment="1">
      <alignment horizontal="right"/>
    </xf>
    <xf numFmtId="1" fontId="7" fillId="20" borderId="13" xfId="0" applyNumberFormat="1" applyFont="1" applyFill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0" fontId="3" fillId="0" borderId="18" xfId="0" applyFont="1" applyFill="1" applyBorder="1"/>
    <xf numFmtId="9" fontId="2" fillId="0" borderId="27" xfId="0" applyNumberFormat="1" applyFont="1" applyFill="1" applyBorder="1" applyAlignment="1">
      <alignment horizontal="right"/>
    </xf>
    <xf numFmtId="6" fontId="2" fillId="0" borderId="18" xfId="0" applyNumberFormat="1" applyFont="1" applyFill="1" applyBorder="1" applyAlignment="1">
      <alignment horizontal="right"/>
    </xf>
    <xf numFmtId="9" fontId="2" fillId="0" borderId="0" xfId="0" applyNumberFormat="1" applyFont="1" applyBorder="1" applyAlignment="1">
      <alignment horizontal="right"/>
    </xf>
    <xf numFmtId="5" fontId="2" fillId="0" borderId="15" xfId="0" applyNumberFormat="1" applyFont="1" applyBorder="1" applyAlignment="1">
      <alignment horizontal="right"/>
    </xf>
    <xf numFmtId="164" fontId="4" fillId="20" borderId="13" xfId="0" applyNumberFormat="1" applyFont="1" applyFill="1" applyBorder="1" applyAlignment="1">
      <alignment horizontal="right"/>
    </xf>
    <xf numFmtId="1" fontId="4" fillId="20" borderId="14" xfId="0" applyNumberFormat="1" applyFont="1" applyFill="1" applyBorder="1" applyAlignment="1">
      <alignment horizontal="right"/>
    </xf>
    <xf numFmtId="0" fontId="4" fillId="20" borderId="13" xfId="0" applyFont="1" applyFill="1" applyBorder="1" applyAlignment="1">
      <alignment horizontal="right"/>
    </xf>
    <xf numFmtId="1" fontId="4" fillId="20" borderId="12" xfId="0" applyNumberFormat="1" applyFont="1" applyFill="1" applyBorder="1" applyAlignment="1">
      <alignment horizontal="right"/>
    </xf>
    <xf numFmtId="1" fontId="4" fillId="20" borderId="13" xfId="0" applyNumberFormat="1" applyFont="1" applyFill="1" applyBorder="1" applyAlignment="1">
      <alignment horizontal="right"/>
    </xf>
    <xf numFmtId="5" fontId="8" fillId="0" borderId="0" xfId="0" applyNumberFormat="1" applyFont="1" applyBorder="1" applyAlignment="1">
      <alignment horizontal="right"/>
    </xf>
    <xf numFmtId="5" fontId="8" fillId="0" borderId="15" xfId="0" applyNumberFormat="1" applyFont="1" applyBorder="1" applyAlignment="1">
      <alignment horizontal="right"/>
    </xf>
    <xf numFmtId="5" fontId="8" fillId="0" borderId="17" xfId="0" applyNumberFormat="1" applyFont="1" applyBorder="1" applyAlignment="1">
      <alignment horizontal="right"/>
    </xf>
    <xf numFmtId="1" fontId="2" fillId="0" borderId="17" xfId="0" applyNumberFormat="1" applyFont="1" applyBorder="1" applyAlignment="1">
      <alignment horizontal="right"/>
    </xf>
    <xf numFmtId="1" fontId="2" fillId="0" borderId="0" xfId="0" applyNumberFormat="1" applyFont="1" applyBorder="1" applyAlignment="1" applyProtection="1">
      <alignment horizontal="right"/>
      <protection locked="0"/>
    </xf>
    <xf numFmtId="9" fontId="2" fillId="20" borderId="28" xfId="0" applyNumberFormat="1" applyFont="1" applyFill="1" applyBorder="1" applyAlignment="1">
      <alignment horizontal="right"/>
    </xf>
    <xf numFmtId="6" fontId="2" fillId="20" borderId="28" xfId="0" applyNumberFormat="1" applyFont="1" applyFill="1" applyBorder="1" applyAlignment="1">
      <alignment horizontal="right"/>
    </xf>
    <xf numFmtId="6" fontId="2" fillId="20" borderId="29" xfId="0" applyNumberFormat="1" applyFont="1" applyFill="1" applyBorder="1" applyAlignment="1">
      <alignment horizontal="right"/>
    </xf>
    <xf numFmtId="6" fontId="2" fillId="20" borderId="19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15" xfId="0" applyFont="1" applyBorder="1" applyProtection="1"/>
    <xf numFmtId="37" fontId="2" fillId="0" borderId="17" xfId="0" applyNumberFormat="1" applyFont="1" applyBorder="1" applyAlignment="1">
      <alignment horizontal="right"/>
    </xf>
    <xf numFmtId="1" fontId="2" fillId="0" borderId="27" xfId="0" applyNumberFormat="1" applyFont="1" applyBorder="1" applyAlignment="1" applyProtection="1">
      <alignment horizontal="right"/>
    </xf>
    <xf numFmtId="1" fontId="2" fillId="0" borderId="27" xfId="0" applyNumberFormat="1" applyFont="1" applyBorder="1" applyAlignment="1">
      <alignment horizontal="right"/>
    </xf>
    <xf numFmtId="1" fontId="2" fillId="0" borderId="18" xfId="0" applyNumberFormat="1" applyFont="1" applyBorder="1" applyAlignment="1" applyProtection="1">
      <alignment horizontal="right"/>
    </xf>
    <xf numFmtId="1" fontId="2" fillId="0" borderId="16" xfId="0" applyNumberFormat="1" applyFont="1" applyBorder="1" applyAlignment="1" applyProtection="1">
      <alignment horizontal="right"/>
    </xf>
    <xf numFmtId="9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Border="1" applyAlignment="1" applyProtection="1">
      <alignment horizontal="right"/>
    </xf>
    <xf numFmtId="1" fontId="2" fillId="0" borderId="14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5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9" fontId="2" fillId="0" borderId="0" xfId="0" applyNumberFormat="1" applyFont="1" applyFill="1" applyBorder="1"/>
    <xf numFmtId="7" fontId="11" fillId="24" borderId="10" xfId="0" applyNumberFormat="1" applyFont="1" applyFill="1" applyBorder="1" applyAlignment="1">
      <alignment horizontal="right"/>
    </xf>
    <xf numFmtId="7" fontId="11" fillId="24" borderId="11" xfId="0" applyNumberFormat="1" applyFont="1" applyFill="1" applyBorder="1" applyAlignment="1">
      <alignment horizontal="right"/>
    </xf>
    <xf numFmtId="0" fontId="11" fillId="24" borderId="10" xfId="0" applyFont="1" applyFill="1" applyBorder="1" applyAlignment="1" applyProtection="1">
      <alignment horizontal="right"/>
    </xf>
    <xf numFmtId="7" fontId="11" fillId="24" borderId="10" xfId="0" applyNumberFormat="1" applyFont="1" applyFill="1" applyBorder="1" applyAlignment="1" applyProtection="1">
      <alignment horizontal="right"/>
    </xf>
    <xf numFmtId="5" fontId="11" fillId="24" borderId="11" xfId="0" applyNumberFormat="1" applyFont="1" applyFill="1" applyBorder="1" applyAlignment="1" applyProtection="1">
      <alignment horizontal="right"/>
    </xf>
    <xf numFmtId="7" fontId="11" fillId="24" borderId="11" xfId="0" applyNumberFormat="1" applyFont="1" applyFill="1" applyBorder="1" applyAlignment="1" applyProtection="1">
      <alignment horizontal="right"/>
    </xf>
    <xf numFmtId="164" fontId="7" fillId="24" borderId="13" xfId="0" applyNumberFormat="1" applyFont="1" applyFill="1" applyBorder="1" applyAlignment="1" applyProtection="1">
      <alignment horizontal="right"/>
    </xf>
    <xf numFmtId="1" fontId="7" fillId="24" borderId="14" xfId="0" applyNumberFormat="1" applyFont="1" applyFill="1" applyBorder="1" applyAlignment="1" applyProtection="1">
      <alignment horizontal="right"/>
    </xf>
    <xf numFmtId="1" fontId="7" fillId="24" borderId="12" xfId="0" applyNumberFormat="1" applyFont="1" applyFill="1" applyBorder="1" applyAlignment="1" applyProtection="1">
      <alignment horizontal="right"/>
    </xf>
    <xf numFmtId="1" fontId="7" fillId="24" borderId="13" xfId="0" applyNumberFormat="1" applyFont="1" applyFill="1" applyBorder="1" applyAlignment="1" applyProtection="1">
      <alignment horizontal="right"/>
    </xf>
    <xf numFmtId="6" fontId="2" fillId="20" borderId="13" xfId="0" applyNumberFormat="1" applyFont="1" applyFill="1" applyBorder="1" applyAlignment="1">
      <alignment horizontal="right"/>
    </xf>
    <xf numFmtId="6" fontId="2" fillId="20" borderId="14" xfId="0" applyNumberFormat="1" applyFont="1" applyFill="1" applyBorder="1" applyAlignment="1">
      <alignment horizontal="right"/>
    </xf>
    <xf numFmtId="6" fontId="2" fillId="20" borderId="12" xfId="0" applyNumberFormat="1" applyFont="1" applyFill="1" applyBorder="1" applyAlignment="1">
      <alignment horizontal="right"/>
    </xf>
    <xf numFmtId="6" fontId="2" fillId="20" borderId="13" xfId="0" applyNumberFormat="1" applyFont="1" applyFill="1" applyBorder="1" applyAlignment="1" applyProtection="1">
      <alignment horizontal="right"/>
    </xf>
    <xf numFmtId="6" fontId="2" fillId="20" borderId="14" xfId="0" applyNumberFormat="1" applyFont="1" applyFill="1" applyBorder="1" applyAlignment="1" applyProtection="1">
      <alignment horizontal="right"/>
    </xf>
    <xf numFmtId="6" fontId="2" fillId="20" borderId="12" xfId="0" applyNumberFormat="1" applyFont="1" applyFill="1" applyBorder="1" applyAlignment="1" applyProtection="1">
      <alignment horizontal="right"/>
    </xf>
    <xf numFmtId="6" fontId="2" fillId="0" borderId="0" xfId="0" applyNumberFormat="1" applyFont="1" applyFill="1" applyBorder="1" applyAlignment="1">
      <alignment horizontal="right"/>
    </xf>
    <xf numFmtId="6" fontId="2" fillId="0" borderId="0" xfId="0" applyNumberFormat="1" applyFont="1" applyAlignment="1">
      <alignment horizontal="right"/>
    </xf>
    <xf numFmtId="6" fontId="2" fillId="0" borderId="0" xfId="0" applyNumberFormat="1" applyFont="1" applyAlignment="1" applyProtection="1">
      <alignment horizontal="right"/>
    </xf>
    <xf numFmtId="9" fontId="2" fillId="0" borderId="0" xfId="0" applyNumberFormat="1" applyFont="1" applyFill="1" applyBorder="1" applyAlignment="1" applyProtection="1">
      <alignment horizontal="right"/>
    </xf>
    <xf numFmtId="6" fontId="2" fillId="0" borderId="15" xfId="0" applyNumberFormat="1" applyFont="1" applyBorder="1" applyAlignment="1" applyProtection="1">
      <alignment horizontal="right"/>
    </xf>
    <xf numFmtId="5" fontId="2" fillId="0" borderId="17" xfId="0" applyNumberFormat="1" applyFont="1" applyBorder="1" applyAlignment="1" applyProtection="1">
      <alignment horizontal="right"/>
    </xf>
    <xf numFmtId="0" fontId="2" fillId="0" borderId="27" xfId="0" applyFont="1" applyBorder="1" applyAlignment="1">
      <alignment horizontal="right"/>
    </xf>
    <xf numFmtId="6" fontId="2" fillId="0" borderId="27" xfId="0" applyNumberFormat="1" applyFont="1" applyBorder="1" applyAlignment="1">
      <alignment horizontal="right"/>
    </xf>
    <xf numFmtId="6" fontId="2" fillId="0" borderId="16" xfId="0" applyNumberFormat="1" applyFont="1" applyBorder="1" applyAlignment="1">
      <alignment horizontal="right"/>
    </xf>
    <xf numFmtId="0" fontId="2" fillId="0" borderId="27" xfId="0" applyFont="1" applyBorder="1" applyAlignment="1" applyProtection="1">
      <alignment horizontal="right"/>
    </xf>
    <xf numFmtId="0" fontId="3" fillId="0" borderId="15" xfId="0" applyFont="1" applyFill="1" applyBorder="1"/>
    <xf numFmtId="5" fontId="2" fillId="0" borderId="0" xfId="0" applyNumberFormat="1" applyFont="1" applyBorder="1" applyAlignment="1" applyProtection="1">
      <alignment horizontal="right"/>
    </xf>
    <xf numFmtId="6" fontId="2" fillId="0" borderId="17" xfId="0" applyNumberFormat="1" applyFont="1" applyFill="1" applyBorder="1" applyAlignment="1">
      <alignment horizontal="right"/>
    </xf>
    <xf numFmtId="6" fontId="2" fillId="0" borderId="15" xfId="0" applyNumberFormat="1" applyFont="1" applyFill="1" applyBorder="1" applyAlignment="1">
      <alignment horizontal="right"/>
    </xf>
    <xf numFmtId="6" fontId="2" fillId="0" borderId="15" xfId="0" applyNumberFormat="1" applyFont="1" applyFill="1" applyBorder="1" applyAlignment="1" applyProtection="1">
      <alignment horizontal="right"/>
    </xf>
    <xf numFmtId="10" fontId="2" fillId="0" borderId="0" xfId="0" applyNumberFormat="1" applyFont="1" applyAlignment="1">
      <alignment horizontal="right"/>
    </xf>
    <xf numFmtId="10" fontId="2" fillId="0" borderId="17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right"/>
    </xf>
    <xf numFmtId="10" fontId="2" fillId="0" borderId="0" xfId="0" applyNumberFormat="1" applyFont="1" applyAlignment="1" applyProtection="1">
      <alignment horizontal="right"/>
    </xf>
    <xf numFmtId="10" fontId="2" fillId="0" borderId="17" xfId="0" applyNumberFormat="1" applyFont="1" applyBorder="1" applyAlignment="1" applyProtection="1">
      <alignment horizontal="right"/>
    </xf>
    <xf numFmtId="10" fontId="2" fillId="0" borderId="0" xfId="0" applyNumberFormat="1" applyFont="1" applyBorder="1" applyAlignment="1" applyProtection="1">
      <alignment horizontal="right"/>
    </xf>
    <xf numFmtId="5" fontId="2" fillId="20" borderId="14" xfId="0" applyNumberFormat="1" applyFont="1" applyFill="1" applyBorder="1" applyAlignment="1">
      <alignment horizontal="right"/>
    </xf>
    <xf numFmtId="0" fontId="2" fillId="20" borderId="12" xfId="0" applyFont="1" applyFill="1" applyBorder="1" applyAlignment="1">
      <alignment horizontal="right"/>
    </xf>
    <xf numFmtId="164" fontId="2" fillId="20" borderId="13" xfId="0" applyNumberFormat="1" applyFont="1" applyFill="1" applyBorder="1" applyAlignment="1" applyProtection="1">
      <alignment horizontal="right"/>
    </xf>
    <xf numFmtId="5" fontId="2" fillId="20" borderId="14" xfId="0" applyNumberFormat="1" applyFont="1" applyFill="1" applyBorder="1" applyAlignment="1" applyProtection="1">
      <alignment horizontal="right"/>
    </xf>
    <xf numFmtId="0" fontId="2" fillId="20" borderId="14" xfId="0" applyFont="1" applyFill="1" applyBorder="1" applyAlignment="1" applyProtection="1">
      <alignment horizontal="right"/>
    </xf>
    <xf numFmtId="0" fontId="2" fillId="20" borderId="12" xfId="0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5" fontId="2" fillId="0" borderId="1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5" fontId="2" fillId="0" borderId="17" xfId="0" applyNumberFormat="1" applyFont="1" applyFill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6" fontId="2" fillId="0" borderId="18" xfId="0" applyNumberFormat="1" applyFont="1" applyBorder="1" applyAlignment="1" applyProtection="1">
      <alignment horizontal="right"/>
    </xf>
    <xf numFmtId="9" fontId="2" fillId="0" borderId="0" xfId="0" applyNumberFormat="1" applyFont="1" applyBorder="1" applyAlignment="1" applyProtection="1">
      <alignment horizontal="right"/>
    </xf>
    <xf numFmtId="6" fontId="3" fillId="0" borderId="18" xfId="0" applyNumberFormat="1" applyFont="1" applyFill="1" applyBorder="1"/>
    <xf numFmtId="0" fontId="2" fillId="0" borderId="27" xfId="0" applyFont="1" applyFill="1" applyBorder="1" applyAlignment="1">
      <alignment horizontal="right"/>
    </xf>
    <xf numFmtId="0" fontId="2" fillId="0" borderId="27" xfId="0" applyFont="1" applyFill="1" applyBorder="1" applyAlignment="1" applyProtection="1">
      <alignment horizontal="right"/>
    </xf>
    <xf numFmtId="6" fontId="2" fillId="0" borderId="27" xfId="0" applyNumberFormat="1" applyFont="1" applyFill="1" applyBorder="1" applyAlignment="1" applyProtection="1">
      <alignment horizontal="right"/>
    </xf>
    <xf numFmtId="6" fontId="2" fillId="0" borderId="16" xfId="0" applyNumberFormat="1" applyFont="1" applyFill="1" applyBorder="1" applyAlignment="1" applyProtection="1">
      <alignment horizontal="right"/>
    </xf>
    <xf numFmtId="6" fontId="2" fillId="0" borderId="18" xfId="0" applyNumberFormat="1" applyFont="1" applyFill="1" applyBorder="1" applyAlignment="1" applyProtection="1">
      <alignment horizontal="right"/>
    </xf>
    <xf numFmtId="6" fontId="2" fillId="0" borderId="15" xfId="0" applyNumberFormat="1" applyFont="1" applyFill="1" applyBorder="1"/>
    <xf numFmtId="5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>
      <alignment horizontal="right"/>
    </xf>
    <xf numFmtId="6" fontId="2" fillId="0" borderId="0" xfId="0" applyNumberFormat="1" applyFont="1"/>
    <xf numFmtId="0" fontId="6" fillId="20" borderId="18" xfId="0" applyFont="1" applyFill="1" applyBorder="1"/>
    <xf numFmtId="0" fontId="3" fillId="0" borderId="23" xfId="0" applyFont="1" applyFill="1" applyBorder="1"/>
    <xf numFmtId="1" fontId="2" fillId="0" borderId="0" xfId="0" applyNumberFormat="1" applyFont="1"/>
    <xf numFmtId="6" fontId="2" fillId="0" borderId="0" xfId="0" applyNumberFormat="1" applyFont="1" applyFill="1"/>
    <xf numFmtId="17" fontId="2" fillId="0" borderId="0" xfId="0" applyNumberFormat="1" applyFont="1"/>
    <xf numFmtId="0" fontId="10" fillId="24" borderId="35" xfId="0" applyFont="1" applyFill="1" applyBorder="1"/>
    <xf numFmtId="0" fontId="13" fillId="24" borderId="36" xfId="0" applyFont="1" applyFill="1" applyBorder="1"/>
    <xf numFmtId="0" fontId="10" fillId="24" borderId="18" xfId="0" applyFont="1" applyFill="1" applyBorder="1"/>
    <xf numFmtId="0" fontId="13" fillId="24" borderId="16" xfId="0" applyFont="1" applyFill="1" applyBorder="1"/>
    <xf numFmtId="164" fontId="3" fillId="20" borderId="14" xfId="0" applyNumberFormat="1" applyFont="1" applyFill="1" applyBorder="1"/>
    <xf numFmtId="164" fontId="3" fillId="0" borderId="17" xfId="0" applyNumberFormat="1" applyFont="1" applyFill="1" applyBorder="1"/>
    <xf numFmtId="6" fontId="3" fillId="0" borderId="16" xfId="0" applyNumberFormat="1" applyFont="1" applyFill="1" applyBorder="1" applyAlignment="1">
      <alignment horizontal="right"/>
    </xf>
    <xf numFmtId="0" fontId="2" fillId="0" borderId="17" xfId="0" applyFont="1" applyBorder="1"/>
    <xf numFmtId="6" fontId="3" fillId="0" borderId="14" xfId="0" applyNumberFormat="1" applyFont="1" applyFill="1" applyBorder="1" applyAlignment="1">
      <alignment horizontal="right"/>
    </xf>
    <xf numFmtId="6" fontId="3" fillId="20" borderId="29" xfId="0" applyNumberFormat="1" applyFont="1" applyFill="1" applyBorder="1" applyAlignment="1">
      <alignment horizontal="right"/>
    </xf>
    <xf numFmtId="164" fontId="14" fillId="24" borderId="36" xfId="0" applyNumberFormat="1" applyFont="1" applyFill="1" applyBorder="1"/>
    <xf numFmtId="0" fontId="12" fillId="0" borderId="15" xfId="0" applyFont="1" applyBorder="1"/>
    <xf numFmtId="0" fontId="2" fillId="0" borderId="12" xfId="0" applyFont="1" applyFill="1" applyBorder="1" applyProtection="1"/>
    <xf numFmtId="6" fontId="2" fillId="0" borderId="14" xfId="0" applyNumberFormat="1" applyFont="1" applyFill="1" applyBorder="1" applyAlignment="1" applyProtection="1">
      <alignment horizontal="right"/>
    </xf>
    <xf numFmtId="0" fontId="3" fillId="0" borderId="15" xfId="0" applyFont="1" applyFill="1" applyBorder="1" applyProtection="1"/>
    <xf numFmtId="0" fontId="6" fillId="20" borderId="14" xfId="0" applyFont="1" applyFill="1" applyBorder="1"/>
    <xf numFmtId="0" fontId="3" fillId="0" borderId="0" xfId="0" applyFont="1" applyFill="1" applyBorder="1"/>
    <xf numFmtId="6" fontId="2" fillId="0" borderId="14" xfId="0" applyNumberFormat="1" applyFont="1" applyFill="1" applyBorder="1"/>
    <xf numFmtId="0" fontId="6" fillId="0" borderId="15" xfId="0" applyFont="1" applyFill="1" applyBorder="1" applyProtection="1"/>
    <xf numFmtId="6" fontId="2" fillId="0" borderId="17" xfId="0" applyNumberFormat="1" applyFont="1" applyFill="1" applyBorder="1"/>
    <xf numFmtId="6" fontId="3" fillId="0" borderId="14" xfId="0" applyNumberFormat="1" applyFont="1" applyFill="1" applyBorder="1"/>
    <xf numFmtId="6" fontId="2" fillId="0" borderId="14" xfId="0" applyNumberFormat="1" applyFont="1" applyFill="1" applyBorder="1" applyAlignment="1">
      <alignment horizontal="right"/>
    </xf>
    <xf numFmtId="0" fontId="9" fillId="0" borderId="15" xfId="0" applyFont="1" applyFill="1" applyBorder="1"/>
    <xf numFmtId="0" fontId="6" fillId="0" borderId="23" xfId="0" applyFont="1" applyFill="1" applyBorder="1"/>
    <xf numFmtId="6" fontId="3" fillId="0" borderId="31" xfId="0" applyNumberFormat="1" applyFont="1" applyFill="1" applyBorder="1" applyAlignment="1">
      <alignment horizontal="right"/>
    </xf>
    <xf numFmtId="0" fontId="12" fillId="24" borderId="10" xfId="0" applyFont="1" applyFill="1" applyBorder="1" applyAlignment="1">
      <alignment horizontal="right"/>
    </xf>
    <xf numFmtId="0" fontId="12" fillId="24" borderId="11" xfId="0" applyFont="1" applyFill="1" applyBorder="1" applyAlignment="1">
      <alignment horizontal="right"/>
    </xf>
    <xf numFmtId="0" fontId="2" fillId="24" borderId="12" xfId="0" applyFont="1" applyFill="1" applyBorder="1"/>
    <xf numFmtId="0" fontId="2" fillId="0" borderId="18" xfId="0" applyFont="1" applyBorder="1"/>
    <xf numFmtId="1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0" fontId="11" fillId="24" borderId="27" xfId="0" applyFont="1" applyFill="1" applyBorder="1" applyAlignment="1">
      <alignment horizontal="right"/>
    </xf>
    <xf numFmtId="0" fontId="11" fillId="24" borderId="16" xfId="0" applyFont="1" applyFill="1" applyBorder="1" applyAlignment="1">
      <alignment horizontal="right"/>
    </xf>
    <xf numFmtId="164" fontId="12" fillId="0" borderId="0" xfId="0" applyNumberFormat="1" applyFont="1"/>
    <xf numFmtId="10" fontId="2" fillId="0" borderId="0" xfId="0" applyNumberFormat="1" applyFont="1"/>
    <xf numFmtId="1" fontId="3" fillId="0" borderId="0" xfId="0" applyNumberFormat="1" applyFont="1" applyFill="1" applyBorder="1" applyAlignment="1">
      <alignment horizontal="right"/>
    </xf>
    <xf numFmtId="1" fontId="3" fillId="0" borderId="17" xfId="0" applyNumberFormat="1" applyFont="1" applyFill="1" applyBorder="1" applyAlignment="1">
      <alignment horizontal="right"/>
    </xf>
    <xf numFmtId="10" fontId="2" fillId="0" borderId="0" xfId="0" applyNumberFormat="1" applyFont="1" applyFill="1"/>
    <xf numFmtId="0" fontId="2" fillId="0" borderId="12" xfId="0" applyFont="1" applyBorder="1"/>
    <xf numFmtId="1" fontId="2" fillId="0" borderId="0" xfId="0" applyNumberFormat="1" applyFont="1" applyFill="1" applyBorder="1" applyAlignment="1">
      <alignment horizontal="right"/>
    </xf>
    <xf numFmtId="1" fontId="2" fillId="0" borderId="17" xfId="0" applyNumberFormat="1" applyFont="1" applyFill="1" applyBorder="1" applyAlignment="1">
      <alignment horizontal="right"/>
    </xf>
    <xf numFmtId="4" fontId="2" fillId="0" borderId="0" xfId="0" applyNumberFormat="1" applyFont="1"/>
    <xf numFmtId="0" fontId="3" fillId="0" borderId="9" xfId="0" applyFont="1" applyFill="1" applyBorder="1"/>
    <xf numFmtId="0" fontId="2" fillId="0" borderId="10" xfId="0" applyFont="1" applyFill="1" applyBorder="1" applyAlignment="1">
      <alignment horizontal="right"/>
    </xf>
    <xf numFmtId="5" fontId="2" fillId="0" borderId="11" xfId="0" applyNumberFormat="1" applyFont="1" applyFill="1" applyBorder="1" applyAlignment="1">
      <alignment horizontal="right"/>
    </xf>
    <xf numFmtId="1" fontId="4" fillId="0" borderId="13" xfId="0" applyNumberFormat="1" applyFont="1" applyFill="1" applyBorder="1" applyAlignment="1">
      <alignment horizontal="right"/>
    </xf>
    <xf numFmtId="1" fontId="4" fillId="0" borderId="14" xfId="0" applyNumberFormat="1" applyFont="1" applyFill="1" applyBorder="1" applyAlignment="1">
      <alignment horizontal="right"/>
    </xf>
    <xf numFmtId="6" fontId="3" fillId="0" borderId="0" xfId="0" applyNumberFormat="1" applyFont="1" applyFill="1" applyBorder="1" applyAlignment="1">
      <alignment horizontal="right"/>
    </xf>
    <xf numFmtId="6" fontId="3" fillId="0" borderId="17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5" fontId="3" fillId="0" borderId="11" xfId="0" applyNumberFormat="1" applyFont="1" applyFill="1" applyBorder="1" applyAlignment="1">
      <alignment horizontal="right"/>
    </xf>
    <xf numFmtId="0" fontId="6" fillId="20" borderId="24" xfId="0" applyFont="1" applyFill="1" applyBorder="1"/>
    <xf numFmtId="1" fontId="3" fillId="20" borderId="25" xfId="0" applyNumberFormat="1" applyFont="1" applyFill="1" applyBorder="1" applyAlignment="1">
      <alignment horizontal="right"/>
    </xf>
    <xf numFmtId="1" fontId="3" fillId="20" borderId="26" xfId="0" applyNumberFormat="1" applyFont="1" applyFill="1" applyBorder="1" applyAlignment="1">
      <alignment horizontal="right"/>
    </xf>
    <xf numFmtId="0" fontId="2" fillId="0" borderId="23" xfId="0" applyFont="1" applyFill="1" applyBorder="1"/>
    <xf numFmtId="0" fontId="11" fillId="24" borderId="10" xfId="0" applyFont="1" applyFill="1" applyBorder="1"/>
    <xf numFmtId="0" fontId="11" fillId="24" borderId="11" xfId="0" applyFont="1" applyFill="1" applyBorder="1"/>
    <xf numFmtId="164" fontId="2" fillId="0" borderId="13" xfId="0" applyNumberFormat="1" applyFont="1" applyFill="1" applyBorder="1" applyAlignment="1">
      <alignment horizontal="right"/>
    </xf>
    <xf numFmtId="1" fontId="2" fillId="0" borderId="14" xfId="0" applyNumberFormat="1" applyFont="1" applyFill="1" applyBorder="1" applyAlignment="1">
      <alignment horizontal="right"/>
    </xf>
    <xf numFmtId="6" fontId="2" fillId="0" borderId="30" xfId="0" applyNumberFormat="1" applyFont="1" applyFill="1" applyBorder="1" applyAlignment="1">
      <alignment horizontal="right"/>
    </xf>
    <xf numFmtId="6" fontId="2" fillId="0" borderId="31" xfId="0" applyNumberFormat="1" applyFont="1" applyFill="1" applyBorder="1" applyAlignment="1">
      <alignment horizontal="right"/>
    </xf>
    <xf numFmtId="0" fontId="10" fillId="24" borderId="9" xfId="0" applyFont="1" applyFill="1" applyBorder="1" applyProtection="1"/>
    <xf numFmtId="0" fontId="11" fillId="24" borderId="10" xfId="0" applyFont="1" applyFill="1" applyBorder="1" applyProtection="1"/>
    <xf numFmtId="0" fontId="11" fillId="24" borderId="11" xfId="0" applyFont="1" applyFill="1" applyBorder="1" applyProtection="1"/>
    <xf numFmtId="0" fontId="7" fillId="24" borderId="12" xfId="0" applyNumberFormat="1" applyFont="1" applyFill="1" applyBorder="1" applyProtection="1"/>
    <xf numFmtId="0" fontId="7" fillId="24" borderId="13" xfId="0" applyFont="1" applyFill="1" applyBorder="1" applyAlignment="1" applyProtection="1">
      <alignment horizontal="right"/>
    </xf>
    <xf numFmtId="0" fontId="6" fillId="20" borderId="12" xfId="0" applyFont="1" applyFill="1" applyBorder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3" fillId="0" borderId="18" xfId="0" applyFont="1" applyBorder="1" applyProtection="1"/>
    <xf numFmtId="1" fontId="2" fillId="20" borderId="14" xfId="0" applyNumberFormat="1" applyFont="1" applyFill="1" applyBorder="1" applyAlignment="1" applyProtection="1">
      <alignment horizontal="right"/>
    </xf>
    <xf numFmtId="1" fontId="2" fillId="20" borderId="12" xfId="0" applyNumberFormat="1" applyFont="1" applyFill="1" applyBorder="1" applyAlignment="1" applyProtection="1">
      <alignment horizontal="right"/>
    </xf>
    <xf numFmtId="1" fontId="2" fillId="20" borderId="13" xfId="0" applyNumberFormat="1" applyFont="1" applyFill="1" applyBorder="1" applyAlignment="1" applyProtection="1">
      <alignment horizontal="right"/>
    </xf>
    <xf numFmtId="0" fontId="3" fillId="0" borderId="23" xfId="0" applyFont="1" applyFill="1" applyBorder="1" applyProtection="1"/>
    <xf numFmtId="6" fontId="2" fillId="0" borderId="30" xfId="0" applyNumberFormat="1" applyFont="1" applyFill="1" applyBorder="1" applyAlignment="1" applyProtection="1">
      <alignment horizontal="right"/>
    </xf>
    <xf numFmtId="6" fontId="2" fillId="0" borderId="29" xfId="0" applyNumberFormat="1" applyFont="1" applyFill="1" applyBorder="1" applyAlignment="1" applyProtection="1">
      <alignment horizontal="right"/>
    </xf>
    <xf numFmtId="6" fontId="2" fillId="0" borderId="31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0" fontId="2" fillId="0" borderId="13" xfId="0" applyFont="1" applyBorder="1" applyAlignment="1" applyProtection="1">
      <alignment horizontal="right"/>
    </xf>
    <xf numFmtId="0" fontId="3" fillId="20" borderId="13" xfId="0" applyFont="1" applyFill="1" applyBorder="1" applyAlignment="1" applyProtection="1">
      <alignment horizontal="left"/>
    </xf>
    <xf numFmtId="164" fontId="3" fillId="20" borderId="13" xfId="0" applyNumberFormat="1" applyFont="1" applyFill="1" applyBorder="1" applyAlignment="1">
      <alignment horizontal="right"/>
    </xf>
    <xf numFmtId="1" fontId="3" fillId="20" borderId="14" xfId="0" applyNumberFormat="1" applyFont="1" applyFill="1" applyBorder="1" applyAlignment="1">
      <alignment horizontal="right"/>
    </xf>
    <xf numFmtId="0" fontId="3" fillId="20" borderId="13" xfId="0" applyFont="1" applyFill="1" applyBorder="1" applyAlignment="1">
      <alignment horizontal="right"/>
    </xf>
    <xf numFmtId="6" fontId="2" fillId="8" borderId="0" xfId="0" applyNumberFormat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0" fillId="0" borderId="0" xfId="0" applyFill="1" applyProtection="1"/>
    <xf numFmtId="6" fontId="2" fillId="8" borderId="27" xfId="0" applyNumberFormat="1" applyFont="1" applyFill="1" applyBorder="1" applyAlignment="1" applyProtection="1">
      <alignment horizontal="right"/>
    </xf>
    <xf numFmtId="0" fontId="2" fillId="8" borderId="0" xfId="0" applyFont="1" applyFill="1"/>
    <xf numFmtId="0" fontId="2" fillId="8" borderId="13" xfId="0" applyFont="1" applyFill="1" applyBorder="1" applyAlignment="1" applyProtection="1">
      <alignment horizontal="right"/>
    </xf>
    <xf numFmtId="6" fontId="2" fillId="0" borderId="13" xfId="0" applyNumberFormat="1" applyFont="1" applyBorder="1" applyAlignment="1">
      <alignment horizontal="right"/>
    </xf>
    <xf numFmtId="6" fontId="2" fillId="8" borderId="30" xfId="0" applyNumberFormat="1" applyFont="1" applyFill="1" applyBorder="1" applyAlignment="1" applyProtection="1">
      <alignment horizontal="right"/>
    </xf>
    <xf numFmtId="6" fontId="8" fillId="8" borderId="0" xfId="0" applyNumberFormat="1" applyFont="1" applyFill="1" applyBorder="1" applyAlignment="1" applyProtection="1">
      <alignment horizontal="right"/>
    </xf>
    <xf numFmtId="6" fontId="2" fillId="8" borderId="27" xfId="0" applyNumberFormat="1" applyFont="1" applyFill="1" applyBorder="1" applyAlignment="1">
      <alignment horizontal="right"/>
    </xf>
    <xf numFmtId="6" fontId="8" fillId="8" borderId="13" xfId="0" applyNumberFormat="1" applyFont="1" applyFill="1" applyBorder="1" applyAlignment="1" applyProtection="1">
      <alignment horizontal="right"/>
    </xf>
    <xf numFmtId="0" fontId="3" fillId="0" borderId="19" xfId="0" applyFont="1" applyFill="1" applyBorder="1"/>
    <xf numFmtId="6" fontId="2" fillId="8" borderId="28" xfId="0" applyNumberFormat="1" applyFont="1" applyFill="1" applyBorder="1" applyAlignment="1" applyProtection="1">
      <alignment horizontal="right"/>
    </xf>
    <xf numFmtId="0" fontId="3" fillId="0" borderId="24" xfId="0" applyFont="1" applyFill="1" applyBorder="1"/>
    <xf numFmtId="6" fontId="2" fillId="8" borderId="25" xfId="0" applyNumberFormat="1" applyFont="1" applyFill="1" applyBorder="1" applyAlignment="1" applyProtection="1">
      <alignment horizontal="right"/>
    </xf>
    <xf numFmtId="6" fontId="2" fillId="0" borderId="25" xfId="0" applyNumberFormat="1" applyFont="1" applyFill="1" applyBorder="1" applyAlignment="1">
      <alignment horizontal="right"/>
    </xf>
    <xf numFmtId="6" fontId="2" fillId="0" borderId="26" xfId="0" applyNumberFormat="1" applyFont="1" applyFill="1" applyBorder="1" applyAlignment="1">
      <alignment horizontal="right"/>
    </xf>
    <xf numFmtId="0" fontId="6" fillId="24" borderId="10" xfId="0" applyFont="1" applyFill="1" applyBorder="1" applyAlignment="1">
      <alignment horizontal="right"/>
    </xf>
    <xf numFmtId="0" fontId="3" fillId="24" borderId="15" xfId="0" applyFont="1" applyFill="1" applyBorder="1"/>
    <xf numFmtId="0" fontId="3" fillId="24" borderId="0" xfId="0" applyFont="1" applyFill="1" applyBorder="1" applyAlignment="1">
      <alignment horizontal="right"/>
    </xf>
    <xf numFmtId="0" fontId="2" fillId="24" borderId="0" xfId="0" applyFont="1" applyFill="1" applyBorder="1" applyAlignment="1">
      <alignment horizontal="right"/>
    </xf>
    <xf numFmtId="0" fontId="2" fillId="24" borderId="17" xfId="0" applyFont="1" applyFill="1" applyBorder="1" applyAlignment="1">
      <alignment horizontal="right"/>
    </xf>
    <xf numFmtId="0" fontId="6" fillId="20" borderId="12" xfId="0" applyFont="1" applyFill="1" applyBorder="1" applyAlignment="1">
      <alignment horizontal="left"/>
    </xf>
    <xf numFmtId="0" fontId="3" fillId="20" borderId="13" xfId="0" applyFont="1" applyFill="1" applyBorder="1" applyAlignment="1" applyProtection="1">
      <alignment horizontal="right"/>
    </xf>
    <xf numFmtId="0" fontId="3" fillId="20" borderId="14" xfId="0" applyFont="1" applyFill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3" fillId="20" borderId="19" xfId="0" applyFont="1" applyFill="1" applyBorder="1" applyProtection="1"/>
    <xf numFmtId="0" fontId="3" fillId="20" borderId="28" xfId="0" applyFont="1" applyFill="1" applyBorder="1" applyAlignment="1" applyProtection="1">
      <alignment horizontal="right"/>
    </xf>
    <xf numFmtId="6" fontId="3" fillId="20" borderId="28" xfId="0" applyNumberFormat="1" applyFont="1" applyFill="1" applyBorder="1" applyAlignment="1" applyProtection="1">
      <alignment horizontal="right"/>
    </xf>
    <xf numFmtId="0" fontId="3" fillId="20" borderId="29" xfId="0" applyFont="1" applyFill="1" applyBorder="1" applyAlignment="1" applyProtection="1">
      <alignment horizontal="right"/>
    </xf>
    <xf numFmtId="0" fontId="15" fillId="0" borderId="0" xfId="0" applyFont="1"/>
    <xf numFmtId="0" fontId="3" fillId="20" borderId="30" xfId="0" applyFont="1" applyFill="1" applyBorder="1" applyAlignment="1" applyProtection="1">
      <alignment horizontal="right"/>
    </xf>
    <xf numFmtId="6" fontId="3" fillId="20" borderId="30" xfId="0" applyNumberFormat="1" applyFont="1" applyFill="1" applyBorder="1" applyAlignment="1" applyProtection="1">
      <alignment horizontal="right"/>
    </xf>
    <xf numFmtId="0" fontId="3" fillId="20" borderId="31" xfId="0" applyFont="1" applyFill="1" applyBorder="1" applyAlignment="1" applyProtection="1">
      <alignment horizontal="right"/>
    </xf>
    <xf numFmtId="0" fontId="4" fillId="24" borderId="23" xfId="0" applyFont="1" applyFill="1" applyBorder="1"/>
    <xf numFmtId="0" fontId="4" fillId="24" borderId="30" xfId="0" applyFont="1" applyFill="1" applyBorder="1"/>
    <xf numFmtId="1" fontId="7" fillId="24" borderId="30" xfId="0" applyNumberFormat="1" applyFont="1" applyFill="1" applyBorder="1" applyAlignment="1">
      <alignment horizontal="right"/>
    </xf>
    <xf numFmtId="1" fontId="7" fillId="24" borderId="31" xfId="0" applyNumberFormat="1" applyFont="1" applyFill="1" applyBorder="1" applyAlignment="1">
      <alignment horizontal="right"/>
    </xf>
    <xf numFmtId="0" fontId="2" fillId="0" borderId="9" xfId="0" applyFont="1" applyFill="1" applyBorder="1"/>
    <xf numFmtId="0" fontId="2" fillId="0" borderId="10" xfId="0" applyFont="1" applyFill="1" applyBorder="1"/>
    <xf numFmtId="6" fontId="2" fillId="0" borderId="10" xfId="0" applyNumberFormat="1" applyFont="1" applyFill="1" applyBorder="1" applyAlignment="1">
      <alignment horizontal="right"/>
    </xf>
    <xf numFmtId="6" fontId="2" fillId="0" borderId="10" xfId="0" applyNumberFormat="1" applyFont="1" applyFill="1" applyBorder="1" applyAlignment="1" applyProtection="1">
      <alignment horizontal="right"/>
    </xf>
    <xf numFmtId="0" fontId="2" fillId="0" borderId="30" xfId="0" applyFont="1" applyFill="1" applyBorder="1"/>
    <xf numFmtId="41" fontId="4" fillId="24" borderId="10" xfId="0" applyNumberFormat="1" applyFont="1" applyFill="1" applyBorder="1" applyProtection="1"/>
    <xf numFmtId="0" fontId="7" fillId="24" borderId="12" xfId="0" applyFont="1" applyFill="1" applyBorder="1" applyProtection="1"/>
    <xf numFmtId="164" fontId="4" fillId="24" borderId="13" xfId="0" applyNumberFormat="1" applyFont="1" applyFill="1" applyBorder="1" applyProtection="1"/>
    <xf numFmtId="0" fontId="2" fillId="0" borderId="0" xfId="0" applyFont="1" applyBorder="1" applyProtection="1"/>
    <xf numFmtId="0" fontId="4" fillId="0" borderId="10" xfId="0" applyFont="1" applyFill="1" applyBorder="1"/>
    <xf numFmtId="0" fontId="4" fillId="24" borderId="31" xfId="0" applyFont="1" applyFill="1" applyBorder="1"/>
    <xf numFmtId="0" fontId="4" fillId="0" borderId="0" xfId="0" applyFont="1" applyFill="1" applyBorder="1"/>
    <xf numFmtId="164" fontId="3" fillId="20" borderId="36" xfId="0" applyNumberFormat="1" applyFont="1" applyFill="1" applyBorder="1"/>
    <xf numFmtId="6" fontId="3" fillId="20" borderId="29" xfId="0" applyNumberFormat="1" applyFont="1" applyFill="1" applyBorder="1"/>
    <xf numFmtId="10" fontId="2" fillId="0" borderId="27" xfId="0" applyNumberFormat="1" applyFont="1" applyBorder="1" applyAlignment="1" applyProtection="1">
      <alignment horizontal="right"/>
    </xf>
    <xf numFmtId="0" fontId="4" fillId="24" borderId="31" xfId="0" applyFont="1" applyFill="1" applyBorder="1" applyAlignment="1">
      <alignment horizontal="right"/>
    </xf>
    <xf numFmtId="0" fontId="6" fillId="20" borderId="13" xfId="0" applyFont="1" applyFill="1" applyBorder="1"/>
    <xf numFmtId="0" fontId="6" fillId="20" borderId="14" xfId="0" applyFont="1" applyFill="1" applyBorder="1" applyAlignment="1">
      <alignment horizontal="right"/>
    </xf>
    <xf numFmtId="0" fontId="3" fillId="0" borderId="13" xfId="0" applyFont="1" applyFill="1" applyBorder="1" applyProtection="1"/>
    <xf numFmtId="17" fontId="3" fillId="0" borderId="14" xfId="0" applyNumberFormat="1" applyFont="1" applyFill="1" applyBorder="1" applyAlignment="1">
      <alignment horizontal="right"/>
    </xf>
    <xf numFmtId="5" fontId="2" fillId="0" borderId="27" xfId="0" applyNumberFormat="1" applyFont="1" applyFill="1" applyBorder="1" applyProtection="1"/>
    <xf numFmtId="5" fontId="3" fillId="0" borderId="16" xfId="0" applyNumberFormat="1" applyFont="1" applyFill="1" applyBorder="1" applyAlignment="1" applyProtection="1">
      <alignment horizontal="right"/>
    </xf>
    <xf numFmtId="5" fontId="2" fillId="0" borderId="0" xfId="0" applyNumberFormat="1" applyFont="1" applyFill="1" applyBorder="1" applyProtection="1"/>
    <xf numFmtId="0" fontId="3" fillId="0" borderId="14" xfId="0" applyFont="1" applyFill="1" applyBorder="1" applyAlignment="1">
      <alignment horizontal="right"/>
    </xf>
    <xf numFmtId="0" fontId="3" fillId="0" borderId="34" xfId="0" applyFont="1" applyBorder="1"/>
    <xf numFmtId="5" fontId="2" fillId="0" borderId="32" xfId="0" applyNumberFormat="1" applyFont="1" applyFill="1" applyBorder="1" applyProtection="1"/>
    <xf numFmtId="5" fontId="3" fillId="0" borderId="16" xfId="0" applyNumberFormat="1" applyFont="1" applyBorder="1" applyAlignment="1">
      <alignment horizontal="right"/>
    </xf>
    <xf numFmtId="5" fontId="8" fillId="0" borderId="32" xfId="0" applyNumberFormat="1" applyFont="1" applyFill="1" applyBorder="1" applyProtection="1"/>
    <xf numFmtId="5" fontId="8" fillId="0" borderId="27" xfId="0" applyNumberFormat="1" applyFont="1" applyFill="1" applyBorder="1" applyProtection="1"/>
    <xf numFmtId="5" fontId="2" fillId="20" borderId="28" xfId="0" applyNumberFormat="1" applyFont="1" applyFill="1" applyBorder="1" applyProtection="1"/>
    <xf numFmtId="7" fontId="5" fillId="0" borderId="10" xfId="0" applyNumberFormat="1" applyFont="1" applyFill="1" applyBorder="1" applyProtection="1"/>
    <xf numFmtId="1" fontId="7" fillId="24" borderId="10" xfId="0" applyNumberFormat="1" applyFont="1" applyFill="1" applyBorder="1" applyAlignment="1" applyProtection="1">
      <alignment horizontal="right"/>
    </xf>
    <xf numFmtId="0" fontId="7" fillId="24" borderId="17" xfId="0" applyFont="1" applyFill="1" applyBorder="1" applyAlignment="1" applyProtection="1">
      <alignment horizontal="right"/>
    </xf>
    <xf numFmtId="0" fontId="4" fillId="24" borderId="13" xfId="0" applyFont="1" applyFill="1" applyBorder="1" applyProtection="1"/>
    <xf numFmtId="10" fontId="2" fillId="0" borderId="0" xfId="0" applyNumberFormat="1" applyFont="1" applyBorder="1" applyProtection="1"/>
    <xf numFmtId="10" fontId="2" fillId="20" borderId="13" xfId="0" applyNumberFormat="1" applyFont="1" applyFill="1" applyBorder="1" applyProtection="1"/>
    <xf numFmtId="10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Border="1" applyProtection="1"/>
    <xf numFmtId="5" fontId="2" fillId="0" borderId="0" xfId="0" applyNumberFormat="1" applyFont="1" applyBorder="1" applyProtection="1"/>
    <xf numFmtId="0" fontId="2" fillId="0" borderId="27" xfId="0" applyFont="1" applyBorder="1" applyProtection="1"/>
    <xf numFmtId="3" fontId="2" fillId="0" borderId="0" xfId="0" applyNumberFormat="1" applyFont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>
      <alignment horizontal="right"/>
    </xf>
    <xf numFmtId="5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0" fontId="2" fillId="0" borderId="30" xfId="0" applyFont="1" applyBorder="1"/>
    <xf numFmtId="10" fontId="2" fillId="0" borderId="30" xfId="0" applyNumberFormat="1" applyFont="1" applyBorder="1"/>
    <xf numFmtId="39" fontId="2" fillId="0" borderId="30" xfId="0" applyNumberFormat="1" applyFont="1" applyBorder="1" applyAlignment="1">
      <alignment horizontal="right"/>
    </xf>
    <xf numFmtId="0" fontId="3" fillId="0" borderId="0" xfId="0" applyFont="1"/>
    <xf numFmtId="6" fontId="0" fillId="0" borderId="0" xfId="0" applyNumberFormat="1" applyBorder="1" applyAlignment="1">
      <alignment horizontal="right"/>
    </xf>
    <xf numFmtId="6" fontId="0" fillId="0" borderId="17" xfId="0" applyNumberFormat="1" applyBorder="1" applyAlignment="1">
      <alignment horizontal="right"/>
    </xf>
    <xf numFmtId="0" fontId="0" fillId="0" borderId="0" xfId="0" applyBorder="1" applyAlignment="1" applyProtection="1">
      <alignment horizontal="right"/>
    </xf>
    <xf numFmtId="6" fontId="0" fillId="0" borderId="37" xfId="0" applyNumberFormat="1" applyBorder="1" applyAlignment="1">
      <alignment horizontal="right"/>
    </xf>
    <xf numFmtId="6" fontId="0" fillId="0" borderId="38" xfId="0" applyNumberFormat="1" applyBorder="1" applyAlignment="1">
      <alignment horizontal="right"/>
    </xf>
    <xf numFmtId="6" fontId="0" fillId="0" borderId="39" xfId="0" applyNumberFormat="1" applyBorder="1" applyAlignment="1">
      <alignment horizontal="right"/>
    </xf>
    <xf numFmtId="6" fontId="0" fillId="0" borderId="27" xfId="0" applyNumberFormat="1" applyBorder="1" applyAlignment="1">
      <alignment horizontal="right"/>
    </xf>
    <xf numFmtId="6" fontId="0" fillId="0" borderId="16" xfId="0" applyNumberFormat="1" applyBorder="1" applyAlignment="1">
      <alignment horizontal="right"/>
    </xf>
    <xf numFmtId="6" fontId="0" fillId="0" borderId="17" xfId="0" applyNumberFormat="1" applyFill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6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6" fontId="0" fillId="0" borderId="0" xfId="0" applyNumberFormat="1" applyBorder="1" applyAlignment="1" applyProtection="1">
      <alignment horizontal="right"/>
    </xf>
    <xf numFmtId="0" fontId="0" fillId="0" borderId="27" xfId="0" applyBorder="1" applyAlignment="1" applyProtection="1">
      <alignment horizontal="right"/>
    </xf>
    <xf numFmtId="0" fontId="0" fillId="20" borderId="28" xfId="0" applyFill="1" applyBorder="1" applyAlignment="1" applyProtection="1">
      <alignment horizontal="right"/>
    </xf>
    <xf numFmtId="6" fontId="0" fillId="20" borderId="28" xfId="0" applyNumberFormat="1" applyFill="1" applyBorder="1" applyAlignment="1">
      <alignment horizontal="right"/>
    </xf>
    <xf numFmtId="6" fontId="0" fillId="20" borderId="29" xfId="0" applyNumberFormat="1" applyFill="1" applyBorder="1" applyAlignment="1">
      <alignment horizontal="right"/>
    </xf>
    <xf numFmtId="6" fontId="0" fillId="0" borderId="14" xfId="0" applyNumberForma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3" fillId="0" borderId="16" xfId="0" applyNumberFormat="1" applyFont="1" applyBorder="1" applyAlignment="1">
      <alignment horizontal="right"/>
    </xf>
    <xf numFmtId="6" fontId="3" fillId="0" borderId="33" xfId="0" applyNumberFormat="1" applyFont="1" applyFill="1" applyBorder="1" applyAlignment="1" applyProtection="1">
      <alignment horizontal="right"/>
    </xf>
    <xf numFmtId="6" fontId="3" fillId="0" borderId="16" xfId="0" applyNumberFormat="1" applyFont="1" applyFill="1" applyBorder="1" applyAlignment="1" applyProtection="1">
      <alignment horizontal="right"/>
    </xf>
    <xf numFmtId="6" fontId="8" fillId="0" borderId="16" xfId="0" applyNumberFormat="1" applyFont="1" applyBorder="1" applyAlignment="1" applyProtection="1">
      <alignment horizontal="right"/>
    </xf>
    <xf numFmtId="6" fontId="8" fillId="0" borderId="14" xfId="0" applyNumberFormat="1" applyFont="1" applyBorder="1" applyAlignment="1" applyProtection="1">
      <alignment horizontal="right"/>
    </xf>
    <xf numFmtId="6" fontId="2" fillId="0" borderId="18" xfId="0" applyNumberFormat="1" applyFont="1" applyBorder="1" applyAlignment="1" applyProtection="1">
      <alignment horizontal="right"/>
      <protection locked="0"/>
    </xf>
    <xf numFmtId="6" fontId="2" fillId="0" borderId="15" xfId="0" applyNumberFormat="1" applyFont="1" applyBorder="1" applyAlignment="1" applyProtection="1">
      <alignment horizontal="right"/>
      <protection locked="0"/>
    </xf>
    <xf numFmtId="6" fontId="2" fillId="0" borderId="12" xfId="0" applyNumberFormat="1" applyFont="1" applyBorder="1" applyAlignment="1" applyProtection="1">
      <alignment horizontal="right"/>
      <protection locked="0"/>
    </xf>
    <xf numFmtId="1" fontId="2" fillId="0" borderId="18" xfId="0" applyNumberFormat="1" applyFont="1" applyBorder="1" applyAlignment="1" applyProtection="1">
      <alignment horizontal="right"/>
      <protection locked="0"/>
    </xf>
    <xf numFmtId="37" fontId="2" fillId="0" borderId="18" xfId="0" applyNumberFormat="1" applyFont="1" applyBorder="1" applyAlignment="1" applyProtection="1">
      <alignment horizontal="right"/>
      <protection locked="0"/>
    </xf>
    <xf numFmtId="37" fontId="2" fillId="0" borderId="15" xfId="0" applyNumberFormat="1" applyFont="1" applyBorder="1" applyAlignment="1" applyProtection="1">
      <alignment horizontal="right"/>
      <protection locked="0"/>
    </xf>
    <xf numFmtId="0" fontId="4" fillId="20" borderId="12" xfId="0" applyFont="1" applyFill="1" applyBorder="1" applyAlignment="1">
      <alignment horizontal="right"/>
    </xf>
    <xf numFmtId="6" fontId="2" fillId="0" borderId="19" xfId="0" applyNumberFormat="1" applyFont="1" applyBorder="1" applyAlignment="1" applyProtection="1">
      <alignment horizontal="right"/>
      <protection locked="0"/>
    </xf>
    <xf numFmtId="1" fontId="7" fillId="24" borderId="0" xfId="0" applyNumberFormat="1" applyFont="1" applyFill="1" applyBorder="1" applyAlignment="1">
      <alignment horizontal="right"/>
    </xf>
    <xf numFmtId="1" fontId="7" fillId="24" borderId="17" xfId="0" applyNumberFormat="1" applyFont="1" applyFill="1" applyBorder="1" applyAlignment="1">
      <alignment horizontal="right"/>
    </xf>
    <xf numFmtId="0" fontId="17" fillId="0" borderId="0" xfId="0" applyFont="1" applyBorder="1" applyAlignment="1" applyProtection="1">
      <alignment horizontal="right"/>
      <protection locked="0"/>
    </xf>
    <xf numFmtId="10" fontId="17" fillId="0" borderId="0" xfId="0" applyNumberFormat="1" applyFont="1" applyFill="1" applyBorder="1" applyAlignment="1" applyProtection="1">
      <alignment horizontal="right"/>
      <protection locked="0"/>
    </xf>
    <xf numFmtId="10" fontId="17" fillId="0" borderId="17" xfId="0" applyNumberFormat="1" applyFont="1" applyBorder="1" applyAlignment="1" applyProtection="1">
      <alignment horizontal="right"/>
      <protection locked="0"/>
    </xf>
    <xf numFmtId="38" fontId="17" fillId="0" borderId="15" xfId="0" applyNumberFormat="1" applyFont="1" applyFill="1" applyBorder="1" applyProtection="1">
      <protection locked="0"/>
    </xf>
    <xf numFmtId="38" fontId="17" fillId="0" borderId="17" xfId="0" applyNumberFormat="1" applyFont="1" applyBorder="1" applyAlignment="1" applyProtection="1">
      <alignment horizontal="right"/>
      <protection locked="0"/>
    </xf>
    <xf numFmtId="38" fontId="17" fillId="0" borderId="0" xfId="0" applyNumberFormat="1" applyFont="1" applyBorder="1" applyAlignment="1" applyProtection="1">
      <alignment horizontal="right"/>
      <protection locked="0"/>
    </xf>
    <xf numFmtId="10" fontId="17" fillId="0" borderId="0" xfId="0" applyNumberFormat="1" applyFont="1" applyBorder="1" applyProtection="1">
      <protection locked="0"/>
    </xf>
    <xf numFmtId="6" fontId="17" fillId="0" borderId="27" xfId="0" applyNumberFormat="1" applyFont="1" applyFill="1" applyBorder="1" applyAlignment="1" applyProtection="1">
      <alignment horizontal="right"/>
      <protection locked="0"/>
    </xf>
    <xf numFmtId="6" fontId="17" fillId="0" borderId="18" xfId="0" applyNumberFormat="1" applyFont="1" applyFill="1" applyBorder="1" applyAlignment="1" applyProtection="1">
      <alignment horizontal="right"/>
      <protection locked="0"/>
    </xf>
    <xf numFmtId="6" fontId="17" fillId="0" borderId="16" xfId="0" applyNumberFormat="1" applyFont="1" applyFill="1" applyBorder="1" applyAlignment="1" applyProtection="1">
      <alignment horizontal="right"/>
      <protection locked="0"/>
    </xf>
    <xf numFmtId="6" fontId="17" fillId="0" borderId="0" xfId="0" applyNumberFormat="1" applyFont="1" applyFill="1" applyBorder="1" applyAlignment="1" applyProtection="1">
      <alignment horizontal="right"/>
      <protection locked="0"/>
    </xf>
    <xf numFmtId="6" fontId="17" fillId="0" borderId="15" xfId="0" applyNumberFormat="1" applyFont="1" applyFill="1" applyBorder="1" applyAlignment="1" applyProtection="1">
      <alignment horizontal="right"/>
      <protection locked="0"/>
    </xf>
    <xf numFmtId="6" fontId="17" fillId="0" borderId="17" xfId="0" applyNumberFormat="1" applyFont="1" applyFill="1" applyBorder="1" applyAlignment="1" applyProtection="1">
      <alignment horizontal="right"/>
      <protection locked="0"/>
    </xf>
    <xf numFmtId="0" fontId="17" fillId="0" borderId="15" xfId="0" applyFont="1" applyFill="1" applyBorder="1"/>
    <xf numFmtId="0" fontId="17" fillId="0" borderId="12" xfId="0" applyFont="1" applyFill="1" applyBorder="1" applyProtection="1">
      <protection locked="0"/>
    </xf>
    <xf numFmtId="6" fontId="17" fillId="0" borderId="13" xfId="0" applyNumberFormat="1" applyFont="1" applyFill="1" applyBorder="1" applyAlignment="1" applyProtection="1">
      <alignment horizontal="right"/>
      <protection locked="0"/>
    </xf>
    <xf numFmtId="6" fontId="17" fillId="0" borderId="12" xfId="0" applyNumberFormat="1" applyFont="1" applyFill="1" applyBorder="1" applyAlignment="1" applyProtection="1">
      <alignment horizontal="right"/>
      <protection locked="0"/>
    </xf>
    <xf numFmtId="6" fontId="17" fillId="0" borderId="14" xfId="0" applyNumberFormat="1" applyFont="1" applyFill="1" applyBorder="1" applyAlignment="1" applyProtection="1">
      <alignment horizontal="right"/>
      <protection locked="0"/>
    </xf>
    <xf numFmtId="0" fontId="17" fillId="0" borderId="15" xfId="0" applyFont="1" applyBorder="1"/>
    <xf numFmtId="0" fontId="17" fillId="0" borderId="15" xfId="0" applyFont="1" applyFill="1" applyBorder="1" applyProtection="1">
      <protection locked="0"/>
    </xf>
    <xf numFmtId="0" fontId="17" fillId="0" borderId="15" xfId="0" applyNumberFormat="1" applyFont="1" applyFill="1" applyBorder="1" applyAlignment="1" applyProtection="1">
      <protection locked="0"/>
    </xf>
    <xf numFmtId="8" fontId="17" fillId="0" borderId="16" xfId="0" applyNumberFormat="1" applyFont="1" applyBorder="1" applyAlignment="1" applyProtection="1">
      <alignment horizontal="right"/>
      <protection locked="0"/>
    </xf>
    <xf numFmtId="8" fontId="17" fillId="0" borderId="17" xfId="0" applyNumberFormat="1" applyFont="1" applyBorder="1" applyAlignment="1" applyProtection="1">
      <alignment horizontal="right"/>
      <protection locked="0"/>
    </xf>
    <xf numFmtId="6" fontId="17" fillId="0" borderId="31" xfId="0" applyNumberFormat="1" applyFont="1" applyBorder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7" fillId="0" borderId="18" xfId="0" applyFont="1" applyBorder="1" applyProtection="1">
      <protection locked="0"/>
    </xf>
    <xf numFmtId="9" fontId="17" fillId="0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Border="1" applyProtection="1">
      <protection locked="0"/>
    </xf>
    <xf numFmtId="3" fontId="17" fillId="0" borderId="0" xfId="0" applyNumberFormat="1" applyFont="1" applyFill="1" applyBorder="1" applyProtection="1">
      <protection locked="0"/>
    </xf>
    <xf numFmtId="0" fontId="17" fillId="0" borderId="18" xfId="0" applyNumberFormat="1" applyFont="1" applyBorder="1" applyProtection="1">
      <protection locked="0"/>
    </xf>
    <xf numFmtId="9" fontId="17" fillId="0" borderId="27" xfId="0" applyNumberFormat="1" applyFont="1" applyBorder="1" applyProtection="1">
      <protection locked="0"/>
    </xf>
    <xf numFmtId="9" fontId="17" fillId="0" borderId="18" xfId="0" applyNumberFormat="1" applyFont="1" applyBorder="1" applyProtection="1">
      <protection locked="0"/>
    </xf>
    <xf numFmtId="9" fontId="17" fillId="0" borderId="27" xfId="0" applyNumberFormat="1" applyFont="1" applyFill="1" applyBorder="1" applyAlignment="1" applyProtection="1">
      <protection locked="0"/>
    </xf>
    <xf numFmtId="9" fontId="17" fillId="0" borderId="0" xfId="0" applyNumberFormat="1" applyFont="1" applyBorder="1" applyProtection="1">
      <protection locked="0"/>
    </xf>
    <xf numFmtId="9" fontId="17" fillId="0" borderId="15" xfId="0" applyNumberFormat="1" applyFont="1" applyFill="1" applyBorder="1" applyAlignment="1" applyProtection="1">
      <protection locked="0"/>
    </xf>
    <xf numFmtId="0" fontId="17" fillId="0" borderId="12" xfId="0" applyNumberFormat="1" applyFont="1" applyBorder="1" applyProtection="1">
      <protection locked="0"/>
    </xf>
    <xf numFmtId="9" fontId="17" fillId="0" borderId="13" xfId="0" applyNumberFormat="1" applyFont="1" applyBorder="1" applyProtection="1">
      <protection locked="0"/>
    </xf>
    <xf numFmtId="9" fontId="17" fillId="0" borderId="12" xfId="0" applyNumberFormat="1" applyFont="1" applyBorder="1" applyProtection="1">
      <protection locked="0"/>
    </xf>
    <xf numFmtId="9" fontId="17" fillId="0" borderId="13" xfId="0" applyNumberFormat="1" applyFont="1" applyFill="1" applyBorder="1" applyAlignment="1" applyProtection="1">
      <protection locked="0"/>
    </xf>
    <xf numFmtId="9" fontId="17" fillId="0" borderId="27" xfId="0" applyNumberFormat="1" applyFont="1" applyBorder="1" applyProtection="1"/>
    <xf numFmtId="9" fontId="17" fillId="0" borderId="0" xfId="0" applyNumberFormat="1" applyFont="1" applyFill="1" applyBorder="1" applyAlignment="1" applyProtection="1">
      <protection locked="0"/>
    </xf>
    <xf numFmtId="9" fontId="17" fillId="0" borderId="0" xfId="0" applyNumberFormat="1" applyFont="1" applyBorder="1" applyProtection="1"/>
    <xf numFmtId="9" fontId="17" fillId="0" borderId="13" xfId="0" applyNumberFormat="1" applyFont="1" applyBorder="1" applyProtection="1"/>
    <xf numFmtId="8" fontId="17" fillId="0" borderId="27" xfId="0" applyNumberFormat="1" applyFont="1" applyFill="1" applyBorder="1" applyAlignment="1" applyProtection="1">
      <alignment horizontal="right"/>
      <protection locked="0"/>
    </xf>
    <xf numFmtId="8" fontId="17" fillId="0" borderId="27" xfId="0" applyNumberFormat="1" applyFont="1" applyBorder="1" applyAlignment="1" applyProtection="1">
      <alignment horizontal="right"/>
      <protection locked="0"/>
    </xf>
    <xf numFmtId="8" fontId="17" fillId="0" borderId="18" xfId="0" applyNumberFormat="1" applyFont="1" applyBorder="1" applyAlignment="1" applyProtection="1">
      <alignment horizontal="right"/>
      <protection locked="0"/>
    </xf>
    <xf numFmtId="8" fontId="17" fillId="0" borderId="0" xfId="0" applyNumberFormat="1" applyFont="1" applyFill="1" applyBorder="1" applyAlignment="1" applyProtection="1">
      <alignment horizontal="right"/>
      <protection locked="0"/>
    </xf>
    <xf numFmtId="8" fontId="17" fillId="0" borderId="0" xfId="0" applyNumberFormat="1" applyFont="1" applyBorder="1" applyAlignment="1" applyProtection="1">
      <alignment horizontal="right"/>
      <protection locked="0"/>
    </xf>
    <xf numFmtId="8" fontId="17" fillId="0" borderId="15" xfId="0" applyNumberFormat="1" applyFont="1" applyBorder="1" applyAlignment="1" applyProtection="1">
      <alignment horizontal="right"/>
      <protection locked="0"/>
    </xf>
    <xf numFmtId="6" fontId="17" fillId="0" borderId="0" xfId="0" applyNumberFormat="1" applyFont="1" applyBorder="1" applyAlignment="1" applyProtection="1">
      <alignment horizontal="right"/>
    </xf>
    <xf numFmtId="10" fontId="17" fillId="0" borderId="27" xfId="0" applyNumberFormat="1" applyFont="1" applyBorder="1" applyAlignment="1" applyProtection="1">
      <alignment horizontal="right"/>
    </xf>
    <xf numFmtId="10" fontId="17" fillId="0" borderId="0" xfId="0" applyNumberFormat="1" applyFont="1" applyBorder="1" applyAlignment="1" applyProtection="1">
      <alignment horizontal="right"/>
    </xf>
    <xf numFmtId="9" fontId="17" fillId="0" borderId="28" xfId="0" applyNumberFormat="1" applyFont="1" applyFill="1" applyBorder="1" applyAlignment="1" applyProtection="1">
      <alignment horizontal="right"/>
      <protection locked="0"/>
    </xf>
    <xf numFmtId="6" fontId="17" fillId="0" borderId="28" xfId="0" applyNumberFormat="1" applyFont="1" applyBorder="1" applyAlignment="1" applyProtection="1">
      <alignment horizontal="right"/>
      <protection locked="0"/>
    </xf>
    <xf numFmtId="6" fontId="17" fillId="0" borderId="28" xfId="0" applyNumberFormat="1" applyFont="1" applyFill="1" applyBorder="1" applyAlignment="1" applyProtection="1">
      <alignment horizontal="right"/>
      <protection locked="0"/>
    </xf>
    <xf numFmtId="5" fontId="17" fillId="0" borderId="0" xfId="0" applyNumberFormat="1" applyFont="1" applyAlignment="1" applyProtection="1">
      <alignment horizontal="right"/>
      <protection locked="0"/>
    </xf>
    <xf numFmtId="5" fontId="17" fillId="0" borderId="25" xfId="0" applyNumberFormat="1" applyFont="1" applyBorder="1" applyAlignment="1" applyProtection="1">
      <alignment horizontal="right"/>
      <protection locked="0"/>
    </xf>
    <xf numFmtId="5" fontId="17" fillId="0" borderId="0" xfId="0" applyNumberFormat="1" applyFont="1" applyBorder="1" applyAlignment="1" applyProtection="1">
      <alignment horizontal="right"/>
      <protection locked="0"/>
    </xf>
    <xf numFmtId="9" fontId="17" fillId="0" borderId="27" xfId="0" applyNumberFormat="1" applyFont="1" applyFill="1" applyBorder="1" applyAlignment="1" applyProtection="1">
      <alignment horizontal="right"/>
      <protection locked="0"/>
    </xf>
    <xf numFmtId="9" fontId="17" fillId="0" borderId="13" xfId="0" applyNumberFormat="1" applyFont="1" applyFill="1" applyBorder="1" applyAlignment="1" applyProtection="1">
      <alignment horizontal="right"/>
      <protection locked="0"/>
    </xf>
    <xf numFmtId="9" fontId="18" fillId="0" borderId="13" xfId="0" applyNumberFormat="1" applyFont="1" applyFill="1" applyBorder="1" applyAlignment="1" applyProtection="1">
      <alignment horizontal="right"/>
    </xf>
    <xf numFmtId="1" fontId="18" fillId="0" borderId="13" xfId="0" applyNumberFormat="1" applyFont="1" applyBorder="1" applyAlignment="1" applyProtection="1">
      <alignment horizontal="right"/>
    </xf>
    <xf numFmtId="1" fontId="18" fillId="0" borderId="12" xfId="0" applyNumberFormat="1" applyFont="1" applyBorder="1" applyAlignment="1" applyProtection="1">
      <alignment horizontal="right"/>
    </xf>
    <xf numFmtId="1" fontId="18" fillId="0" borderId="14" xfId="0" applyNumberFormat="1" applyFont="1" applyBorder="1" applyAlignment="1" applyProtection="1">
      <alignment horizontal="right"/>
    </xf>
    <xf numFmtId="0" fontId="17" fillId="0" borderId="15" xfId="0" applyFont="1" applyBorder="1" applyProtection="1">
      <protection locked="0"/>
    </xf>
    <xf numFmtId="1" fontId="17" fillId="0" borderId="0" xfId="0" applyNumberFormat="1" applyFont="1" applyBorder="1" applyAlignment="1" applyProtection="1">
      <alignment horizontal="right"/>
      <protection locked="0"/>
    </xf>
    <xf numFmtId="1" fontId="17" fillId="0" borderId="15" xfId="0" applyNumberFormat="1" applyFont="1" applyBorder="1" applyAlignment="1" applyProtection="1">
      <alignment horizontal="right"/>
      <protection locked="0"/>
    </xf>
    <xf numFmtId="1" fontId="17" fillId="0" borderId="17" xfId="0" applyNumberFormat="1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37" fontId="17" fillId="0" borderId="27" xfId="0" applyNumberFormat="1" applyFont="1" applyBorder="1" applyAlignment="1" applyProtection="1">
      <alignment horizontal="right"/>
      <protection locked="0"/>
    </xf>
    <xf numFmtId="37" fontId="17" fillId="0" borderId="27" xfId="0" applyNumberFormat="1" applyFont="1" applyFill="1" applyBorder="1" applyAlignment="1" applyProtection="1">
      <alignment horizontal="right"/>
      <protection locked="0"/>
    </xf>
    <xf numFmtId="37" fontId="17" fillId="0" borderId="18" xfId="0" applyNumberFormat="1" applyFont="1" applyBorder="1" applyAlignment="1" applyProtection="1">
      <alignment horizontal="right"/>
      <protection locked="0"/>
    </xf>
    <xf numFmtId="37" fontId="17" fillId="0" borderId="16" xfId="0" applyNumberFormat="1" applyFont="1" applyBorder="1" applyAlignment="1" applyProtection="1">
      <alignment horizontal="right"/>
      <protection locked="0"/>
    </xf>
    <xf numFmtId="6" fontId="17" fillId="0" borderId="18" xfId="0" applyNumberFormat="1" applyFont="1" applyBorder="1" applyAlignment="1" applyProtection="1">
      <alignment horizontal="right"/>
      <protection locked="0"/>
    </xf>
    <xf numFmtId="6" fontId="17" fillId="0" borderId="27" xfId="0" applyNumberFormat="1" applyFont="1" applyBorder="1" applyAlignment="1" applyProtection="1">
      <alignment horizontal="right"/>
      <protection locked="0"/>
    </xf>
    <xf numFmtId="6" fontId="17" fillId="0" borderId="17" xfId="0" applyNumberFormat="1" applyFont="1" applyBorder="1" applyAlignment="1" applyProtection="1">
      <alignment horizontal="right"/>
      <protection locked="0"/>
    </xf>
    <xf numFmtId="9" fontId="17" fillId="0" borderId="0" xfId="0" applyNumberFormat="1" applyFont="1" applyBorder="1" applyAlignment="1" applyProtection="1">
      <alignment horizontal="right"/>
      <protection locked="0"/>
    </xf>
    <xf numFmtId="0" fontId="17" fillId="0" borderId="0" xfId="0" applyFont="1" applyFill="1" applyProtection="1">
      <protection locked="0"/>
    </xf>
    <xf numFmtId="0" fontId="17" fillId="0" borderId="18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Border="1" applyAlignment="1" applyProtection="1">
      <alignment horizontal="right"/>
    </xf>
    <xf numFmtId="0" fontId="17" fillId="0" borderId="17" xfId="0" applyFont="1" applyBorder="1" applyAlignment="1" applyProtection="1">
      <alignment horizontal="right"/>
    </xf>
    <xf numFmtId="6" fontId="17" fillId="0" borderId="0" xfId="0" applyNumberFormat="1" applyFont="1" applyFill="1" applyBorder="1" applyAlignment="1" applyProtection="1">
      <alignment horizontal="right"/>
    </xf>
    <xf numFmtId="6" fontId="17" fillId="0" borderId="1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right"/>
      <protection locked="0"/>
    </xf>
    <xf numFmtId="0" fontId="18" fillId="20" borderId="13" xfId="0" applyFont="1" applyFill="1" applyBorder="1" applyAlignment="1" applyProtection="1">
      <alignment horizontal="right"/>
      <protection locked="0"/>
    </xf>
    <xf numFmtId="0" fontId="18" fillId="20" borderId="14" xfId="0" applyFont="1" applyFill="1" applyBorder="1" applyAlignment="1" applyProtection="1">
      <alignment horizontal="right"/>
      <protection locked="0"/>
    </xf>
    <xf numFmtId="14" fontId="17" fillId="0" borderId="27" xfId="0" applyNumberFormat="1" applyFont="1" applyBorder="1" applyAlignment="1" applyProtection="1">
      <alignment horizontal="right"/>
      <protection locked="0"/>
    </xf>
    <xf numFmtId="0" fontId="17" fillId="0" borderId="27" xfId="0" applyFont="1" applyBorder="1" applyAlignment="1" applyProtection="1">
      <alignment horizontal="right"/>
      <protection locked="0"/>
    </xf>
    <xf numFmtId="0" fontId="17" fillId="0" borderId="16" xfId="0" applyFont="1" applyBorder="1" applyAlignment="1" applyProtection="1">
      <alignment horizontal="right"/>
      <protection locked="0"/>
    </xf>
    <xf numFmtId="14" fontId="17" fillId="0" borderId="0" xfId="0" applyNumberFormat="1" applyFont="1" applyBorder="1" applyAlignment="1" applyProtection="1">
      <alignment horizontal="right"/>
      <protection locked="0"/>
    </xf>
    <xf numFmtId="0" fontId="17" fillId="0" borderId="17" xfId="0" applyFont="1" applyBorder="1" applyAlignment="1" applyProtection="1">
      <alignment horizontal="right"/>
      <protection locked="0"/>
    </xf>
    <xf numFmtId="14" fontId="17" fillId="0" borderId="13" xfId="0" applyNumberFormat="1" applyFont="1" applyBorder="1" applyAlignment="1" applyProtection="1">
      <alignment horizontal="right"/>
      <protection locked="0"/>
    </xf>
    <xf numFmtId="0" fontId="17" fillId="0" borderId="14" xfId="0" applyFont="1" applyBorder="1" applyAlignment="1" applyProtection="1">
      <alignment horizontal="right"/>
      <protection locked="0"/>
    </xf>
    <xf numFmtId="6" fontId="17" fillId="0" borderId="10" xfId="0" applyNumberFormat="1" applyFont="1" applyFill="1" applyBorder="1" applyAlignment="1" applyProtection="1">
      <alignment horizontal="right"/>
      <protection locked="0"/>
    </xf>
    <xf numFmtId="6" fontId="17" fillId="0" borderId="11" xfId="0" applyNumberFormat="1" applyFont="1" applyFill="1" applyBorder="1" applyAlignment="1" applyProtection="1">
      <alignment horizontal="right"/>
      <protection locked="0"/>
    </xf>
    <xf numFmtId="6" fontId="17" fillId="0" borderId="30" xfId="0" applyNumberFormat="1" applyFont="1" applyFill="1" applyBorder="1" applyAlignment="1" applyProtection="1">
      <alignment horizontal="right"/>
      <protection locked="0"/>
    </xf>
    <xf numFmtId="6" fontId="17" fillId="0" borderId="31" xfId="0" applyNumberFormat="1" applyFont="1" applyFill="1" applyBorder="1" applyAlignment="1" applyProtection="1">
      <alignment horizontal="right"/>
      <protection locked="0"/>
    </xf>
    <xf numFmtId="6" fontId="17" fillId="0" borderId="16" xfId="0" applyNumberFormat="1" applyFont="1" applyBorder="1" applyProtection="1">
      <protection locked="0"/>
    </xf>
    <xf numFmtId="6" fontId="17" fillId="0" borderId="14" xfId="0" applyNumberFormat="1" applyFont="1" applyBorder="1" applyProtection="1">
      <protection locked="0"/>
    </xf>
    <xf numFmtId="5" fontId="17" fillId="0" borderId="27" xfId="0" applyNumberFormat="1" applyFont="1" applyFill="1" applyBorder="1" applyProtection="1">
      <protection locked="0"/>
    </xf>
    <xf numFmtId="5" fontId="17" fillId="0" borderId="0" xfId="0" applyNumberFormat="1" applyFont="1" applyFill="1" applyBorder="1" applyProtection="1">
      <protection locked="0"/>
    </xf>
    <xf numFmtId="5" fontId="17" fillId="0" borderId="13" xfId="0" applyNumberFormat="1" applyFont="1" applyFill="1" applyBorder="1" applyProtection="1">
      <protection locked="0"/>
    </xf>
    <xf numFmtId="6" fontId="17" fillId="0" borderId="29" xfId="0" applyNumberFormat="1" applyFont="1" applyBorder="1" applyAlignment="1" applyProtection="1">
      <alignment horizontal="right"/>
      <protection locked="0"/>
    </xf>
    <xf numFmtId="6" fontId="17" fillId="0" borderId="19" xfId="0" applyNumberFormat="1" applyFont="1" applyBorder="1" applyAlignment="1" applyProtection="1">
      <alignment horizontal="right"/>
      <protection locked="0"/>
    </xf>
    <xf numFmtId="9" fontId="2" fillId="0" borderId="13" xfId="0" applyNumberFormat="1" applyFont="1" applyBorder="1" applyProtection="1">
      <protection locked="0"/>
    </xf>
    <xf numFmtId="6" fontId="2" fillId="0" borderId="18" xfId="0" applyNumberFormat="1" applyFont="1" applyBorder="1" applyAlignment="1">
      <alignment horizontal="right"/>
    </xf>
    <xf numFmtId="1" fontId="3" fillId="0" borderId="0" xfId="0" applyNumberFormat="1" applyFont="1" applyFill="1" applyBorder="1"/>
    <xf numFmtId="6" fontId="2" fillId="0" borderId="12" xfId="0" applyNumberFormat="1" applyFont="1" applyBorder="1" applyAlignment="1" applyProtection="1">
      <alignment horizontal="right"/>
    </xf>
    <xf numFmtId="0" fontId="16" fillId="0" borderId="0" xfId="0" applyFont="1"/>
    <xf numFmtId="0" fontId="16" fillId="0" borderId="15" xfId="0" applyFont="1" applyFill="1" applyBorder="1" applyProtection="1"/>
    <xf numFmtId="9" fontId="16" fillId="0" borderId="0" xfId="0" applyNumberFormat="1" applyFont="1" applyFill="1" applyBorder="1" applyAlignment="1" applyProtection="1">
      <alignment horizontal="right"/>
    </xf>
    <xf numFmtId="6" fontId="16" fillId="0" borderId="0" xfId="0" applyNumberFormat="1" applyFont="1" applyFill="1" applyBorder="1" applyAlignment="1" applyProtection="1">
      <alignment horizontal="right"/>
    </xf>
    <xf numFmtId="6" fontId="16" fillId="0" borderId="17" xfId="0" applyNumberFormat="1" applyFont="1" applyBorder="1" applyAlignment="1" applyProtection="1">
      <alignment horizontal="right"/>
    </xf>
    <xf numFmtId="165" fontId="17" fillId="0" borderId="27" xfId="0" applyNumberFormat="1" applyFont="1" applyBorder="1" applyAlignment="1" applyProtection="1">
      <alignment horizontal="right"/>
      <protection locked="0"/>
    </xf>
    <xf numFmtId="165" fontId="17" fillId="0" borderId="27" xfId="0" applyNumberFormat="1" applyFont="1" applyFill="1" applyBorder="1" applyAlignment="1" applyProtection="1">
      <alignment horizontal="right"/>
      <protection locked="0"/>
    </xf>
    <xf numFmtId="165" fontId="17" fillId="0" borderId="18" xfId="0" applyNumberFormat="1" applyFont="1" applyBorder="1" applyAlignment="1" applyProtection="1">
      <alignment horizontal="right"/>
      <protection locked="0"/>
    </xf>
    <xf numFmtId="165" fontId="17" fillId="0" borderId="16" xfId="0" applyNumberFormat="1" applyFont="1" applyBorder="1" applyAlignment="1" applyProtection="1">
      <alignment horizontal="right"/>
      <protection locked="0"/>
    </xf>
    <xf numFmtId="166" fontId="17" fillId="0" borderId="0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Border="1" applyAlignment="1" applyProtection="1">
      <alignment horizontal="right"/>
      <protection locked="0"/>
    </xf>
    <xf numFmtId="166" fontId="17" fillId="0" borderId="17" xfId="0" applyNumberFormat="1" applyFont="1" applyBorder="1" applyAlignment="1" applyProtection="1">
      <alignment horizontal="right"/>
      <protection locked="0"/>
    </xf>
    <xf numFmtId="166" fontId="17" fillId="0" borderId="15" xfId="0" applyNumberFormat="1" applyFont="1" applyBorder="1" applyAlignment="1" applyProtection="1">
      <alignment horizontal="right"/>
      <protection locked="0"/>
    </xf>
    <xf numFmtId="166" fontId="17" fillId="0" borderId="27" xfId="0" applyNumberFormat="1" applyFont="1" applyFill="1" applyBorder="1" applyAlignment="1" applyProtection="1">
      <alignment horizontal="right"/>
      <protection locked="0"/>
    </xf>
    <xf numFmtId="166" fontId="2" fillId="0" borderId="17" xfId="0" applyNumberFormat="1" applyFont="1" applyBorder="1" applyAlignment="1" applyProtection="1">
      <alignment horizontal="right"/>
    </xf>
    <xf numFmtId="166" fontId="17" fillId="0" borderId="27" xfId="0" applyNumberFormat="1" applyFont="1" applyBorder="1" applyAlignment="1" applyProtection="1">
      <alignment horizontal="right"/>
      <protection locked="0"/>
    </xf>
    <xf numFmtId="166" fontId="17" fillId="0" borderId="40" xfId="0" applyNumberFormat="1" applyFont="1" applyBorder="1" applyAlignment="1" applyProtection="1">
      <alignment horizontal="right"/>
      <protection locked="0"/>
    </xf>
    <xf numFmtId="166" fontId="17" fillId="0" borderId="18" xfId="0" applyNumberFormat="1" applyFont="1" applyBorder="1" applyAlignment="1" applyProtection="1">
      <alignment horizontal="right"/>
      <protection locked="0"/>
    </xf>
    <xf numFmtId="166" fontId="17" fillId="0" borderId="16" xfId="0" applyNumberFormat="1" applyFont="1" applyBorder="1" applyAlignment="1" applyProtection="1">
      <alignment horizontal="right"/>
      <protection locked="0"/>
    </xf>
    <xf numFmtId="166" fontId="2" fillId="0" borderId="27" xfId="0" applyNumberFormat="1" applyFont="1" applyBorder="1" applyAlignment="1" applyProtection="1">
      <alignment horizontal="right"/>
    </xf>
    <xf numFmtId="166" fontId="2" fillId="0" borderId="18" xfId="0" applyNumberFormat="1" applyFont="1" applyBorder="1" applyAlignment="1" applyProtection="1">
      <alignment horizontal="right"/>
    </xf>
    <xf numFmtId="166" fontId="2" fillId="0" borderId="16" xfId="0" applyNumberFormat="1" applyFont="1" applyBorder="1" applyAlignment="1" applyProtection="1">
      <alignment horizontal="right"/>
    </xf>
    <xf numFmtId="166" fontId="2" fillId="0" borderId="0" xfId="0" applyNumberFormat="1" applyFont="1" applyBorder="1" applyAlignment="1" applyProtection="1">
      <alignment horizontal="right"/>
    </xf>
    <xf numFmtId="166" fontId="2" fillId="0" borderId="15" xfId="0" applyNumberFormat="1" applyFont="1" applyBorder="1" applyAlignment="1" applyProtection="1">
      <alignment horizontal="right"/>
    </xf>
    <xf numFmtId="166" fontId="17" fillId="0" borderId="13" xfId="0" applyNumberFormat="1" applyFont="1" applyFill="1" applyBorder="1" applyAlignment="1" applyProtection="1">
      <alignment horizontal="right"/>
      <protection locked="0"/>
    </xf>
    <xf numFmtId="166" fontId="17" fillId="0" borderId="41" xfId="0" applyNumberFormat="1" applyFont="1" applyBorder="1" applyAlignment="1" applyProtection="1">
      <alignment horizontal="right"/>
      <protection locked="0"/>
    </xf>
    <xf numFmtId="166" fontId="17" fillId="0" borderId="13" xfId="0" applyNumberFormat="1" applyFont="1" applyBorder="1" applyAlignment="1" applyProtection="1">
      <alignment horizontal="right"/>
      <protection locked="0"/>
    </xf>
    <xf numFmtId="166" fontId="17" fillId="0" borderId="12" xfId="0" applyNumberFormat="1" applyFont="1" applyBorder="1" applyAlignment="1" applyProtection="1">
      <alignment horizontal="right"/>
      <protection locked="0"/>
    </xf>
    <xf numFmtId="166" fontId="17" fillId="0" borderId="14" xfId="0" applyNumberFormat="1" applyFont="1" applyBorder="1" applyAlignment="1" applyProtection="1">
      <alignment horizontal="right"/>
      <protection locked="0"/>
    </xf>
    <xf numFmtId="166" fontId="2" fillId="0" borderId="13" xfId="0" applyNumberFormat="1" applyFont="1" applyBorder="1" applyAlignment="1" applyProtection="1">
      <alignment horizontal="right"/>
    </xf>
    <xf numFmtId="166" fontId="2" fillId="0" borderId="12" xfId="0" applyNumberFormat="1" applyFont="1" applyBorder="1" applyAlignment="1" applyProtection="1">
      <alignment horizontal="right"/>
    </xf>
    <xf numFmtId="166" fontId="2" fillId="0" borderId="14" xfId="0" applyNumberFormat="1" applyFont="1" applyBorder="1" applyAlignment="1" applyProtection="1">
      <alignment horizontal="right"/>
    </xf>
    <xf numFmtId="166" fontId="2" fillId="0" borderId="27" xfId="0" applyNumberFormat="1" applyFont="1" applyFill="1" applyBorder="1" applyAlignment="1">
      <alignment horizontal="right"/>
    </xf>
    <xf numFmtId="166" fontId="2" fillId="0" borderId="16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 applyProtection="1">
      <alignment horizontal="right"/>
      <protection locked="0"/>
    </xf>
    <xf numFmtId="166" fontId="17" fillId="0" borderId="11" xfId="0" applyNumberFormat="1" applyFont="1" applyFill="1" applyBorder="1" applyAlignment="1" applyProtection="1">
      <alignment horizontal="right"/>
      <protection locked="0"/>
    </xf>
    <xf numFmtId="166" fontId="2" fillId="0" borderId="17" xfId="0" applyNumberFormat="1" applyFont="1" applyBorder="1" applyAlignment="1">
      <alignment horizontal="right"/>
    </xf>
    <xf numFmtId="166" fontId="2" fillId="20" borderId="28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166" fontId="2" fillId="0" borderId="17" xfId="0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2" fillId="0" borderId="30" xfId="0" applyNumberFormat="1" applyFont="1" applyBorder="1" applyAlignment="1">
      <alignment horizontal="right"/>
    </xf>
    <xf numFmtId="167" fontId="17" fillId="0" borderId="0" xfId="0" applyNumberFormat="1" applyFont="1" applyFill="1" applyBorder="1" applyAlignment="1" applyProtection="1">
      <alignment horizontal="right"/>
      <protection locked="0"/>
    </xf>
    <xf numFmtId="167" fontId="17" fillId="0" borderId="17" xfId="0" applyNumberFormat="1" applyFont="1" applyFill="1" applyBorder="1" applyAlignment="1" applyProtection="1">
      <alignment horizontal="right"/>
      <protection locked="0"/>
    </xf>
    <xf numFmtId="167" fontId="2" fillId="0" borderId="30" xfId="0" applyNumberFormat="1" applyFont="1" applyFill="1" applyBorder="1" applyAlignment="1">
      <alignment horizontal="right"/>
    </xf>
    <xf numFmtId="167" fontId="2" fillId="0" borderId="31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167" fontId="2" fillId="0" borderId="15" xfId="0" applyNumberFormat="1" applyFont="1" applyBorder="1"/>
    <xf numFmtId="168" fontId="17" fillId="0" borderId="0" xfId="0" applyNumberFormat="1" applyFont="1" applyFill="1" applyBorder="1" applyAlignment="1" applyProtection="1">
      <alignment horizontal="right"/>
      <protection locked="0"/>
    </xf>
    <xf numFmtId="168" fontId="17" fillId="0" borderId="0" xfId="0" applyNumberFormat="1" applyFont="1" applyBorder="1" applyAlignment="1" applyProtection="1">
      <alignment horizontal="right"/>
      <protection locked="0"/>
    </xf>
    <xf numFmtId="168" fontId="17" fillId="0" borderId="17" xfId="0" applyNumberFormat="1" applyFont="1" applyBorder="1" applyAlignment="1" applyProtection="1">
      <alignment horizontal="right"/>
      <protection locked="0"/>
    </xf>
    <xf numFmtId="168" fontId="2" fillId="0" borderId="16" xfId="0" applyNumberFormat="1" applyFont="1" applyFill="1" applyBorder="1" applyAlignment="1">
      <alignment horizontal="right"/>
    </xf>
    <xf numFmtId="168" fontId="2" fillId="0" borderId="17" xfId="0" applyNumberFormat="1" applyFont="1" applyFill="1" applyBorder="1" applyAlignment="1">
      <alignment horizontal="right"/>
    </xf>
    <xf numFmtId="168" fontId="2" fillId="0" borderId="14" xfId="0" applyNumberFormat="1" applyFont="1" applyFill="1" applyBorder="1" applyAlignment="1">
      <alignment horizontal="right"/>
    </xf>
    <xf numFmtId="168" fontId="2" fillId="20" borderId="28" xfId="0" applyNumberFormat="1" applyFont="1" applyFill="1" applyBorder="1" applyAlignment="1" applyProtection="1">
      <alignment horizontal="right"/>
    </xf>
    <xf numFmtId="168" fontId="2" fillId="20" borderId="29" xfId="0" applyNumberFormat="1" applyFont="1" applyFill="1" applyBorder="1" applyAlignment="1">
      <alignment horizontal="right"/>
    </xf>
    <xf numFmtId="168" fontId="17" fillId="0" borderId="27" xfId="0" applyNumberFormat="1" applyFont="1" applyBorder="1" applyAlignment="1" applyProtection="1">
      <alignment horizontal="right"/>
      <protection locked="0"/>
    </xf>
    <xf numFmtId="168" fontId="2" fillId="0" borderId="0" xfId="0" applyNumberFormat="1" applyFont="1" applyBorder="1" applyAlignment="1">
      <alignment horizontal="right"/>
    </xf>
    <xf numFmtId="168" fontId="2" fillId="0" borderId="17" xfId="0" applyNumberFormat="1" applyFont="1" applyBorder="1" applyAlignment="1" applyProtection="1">
      <alignment horizontal="right"/>
    </xf>
    <xf numFmtId="168" fontId="2" fillId="0" borderId="0" xfId="0" applyNumberFormat="1" applyFont="1" applyBorder="1" applyAlignment="1" applyProtection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2" fillId="0" borderId="27" xfId="0" applyNumberFormat="1" applyFont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168" fontId="17" fillId="0" borderId="17" xfId="0" applyNumberFormat="1" applyFont="1" applyFill="1" applyBorder="1" applyAlignment="1" applyProtection="1">
      <alignment horizontal="right"/>
      <protection locked="0"/>
    </xf>
    <xf numFmtId="168" fontId="17" fillId="0" borderId="14" xfId="0" applyNumberFormat="1" applyFont="1" applyBorder="1" applyAlignment="1" applyProtection="1">
      <alignment horizontal="right"/>
      <protection locked="0"/>
    </xf>
    <xf numFmtId="168" fontId="2" fillId="0" borderId="14" xfId="0" applyNumberFormat="1" applyFont="1" applyBorder="1" applyAlignment="1" applyProtection="1">
      <alignment horizontal="right"/>
    </xf>
    <xf numFmtId="168" fontId="2" fillId="0" borderId="27" xfId="0" applyNumberFormat="1" applyFont="1" applyBorder="1" applyAlignment="1">
      <alignment horizontal="right"/>
    </xf>
    <xf numFmtId="168" fontId="17" fillId="0" borderId="31" xfId="0" applyNumberFormat="1" applyFont="1" applyFill="1" applyBorder="1" applyAlignment="1" applyProtection="1">
      <alignment horizontal="right"/>
      <protection locked="0"/>
    </xf>
    <xf numFmtId="169" fontId="17" fillId="0" borderId="17" xfId="0" applyNumberFormat="1" applyFont="1" applyBorder="1" applyAlignment="1" applyProtection="1">
      <alignment horizontal="right"/>
      <protection locked="0"/>
    </xf>
    <xf numFmtId="169" fontId="17" fillId="0" borderId="27" xfId="0" applyNumberFormat="1" applyFont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right"/>
      <protection locked="0"/>
    </xf>
    <xf numFmtId="169" fontId="17" fillId="0" borderId="13" xfId="0" applyNumberFormat="1" applyFont="1" applyBorder="1" applyAlignment="1" applyProtection="1">
      <alignment horizontal="right"/>
      <protection locked="0"/>
    </xf>
    <xf numFmtId="169" fontId="17" fillId="0" borderId="18" xfId="0" applyNumberFormat="1" applyFont="1" applyBorder="1" applyProtection="1">
      <protection locked="0"/>
    </xf>
    <xf numFmtId="169" fontId="17" fillId="0" borderId="15" xfId="0" applyNumberFormat="1" applyFont="1" applyFill="1" applyBorder="1" applyAlignment="1" applyProtection="1">
      <protection locked="0"/>
    </xf>
    <xf numFmtId="169" fontId="17" fillId="0" borderId="12" xfId="0" applyNumberFormat="1" applyFont="1" applyBorder="1" applyProtection="1">
      <protection locked="0"/>
    </xf>
    <xf numFmtId="169" fontId="17" fillId="0" borderId="40" xfId="0" applyNumberFormat="1" applyFont="1" applyBorder="1" applyProtection="1">
      <protection locked="0"/>
    </xf>
    <xf numFmtId="169" fontId="17" fillId="0" borderId="15" xfId="0" applyNumberFormat="1" applyFont="1" applyBorder="1" applyProtection="1">
      <protection locked="0"/>
    </xf>
    <xf numFmtId="169" fontId="17" fillId="0" borderId="0" xfId="0" applyNumberFormat="1" applyFont="1" applyFill="1" applyBorder="1" applyAlignment="1" applyProtection="1">
      <protection locked="0"/>
    </xf>
    <xf numFmtId="169" fontId="2" fillId="0" borderId="0" xfId="0" applyNumberFormat="1" applyFont="1" applyBorder="1" applyAlignment="1">
      <alignment horizontal="right"/>
    </xf>
    <xf numFmtId="0" fontId="0" fillId="0" borderId="0" xfId="0" applyProtection="1">
      <protection locked="0"/>
    </xf>
    <xf numFmtId="0" fontId="17" fillId="0" borderId="15" xfId="0" applyNumberFormat="1" applyFont="1" applyBorder="1" applyProtection="1">
      <protection locked="0"/>
    </xf>
    <xf numFmtId="9" fontId="17" fillId="0" borderId="15" xfId="0" applyNumberFormat="1" applyFont="1" applyBorder="1" applyProtection="1">
      <protection locked="0"/>
    </xf>
    <xf numFmtId="44" fontId="34" fillId="0" borderId="0" xfId="0" applyNumberFormat="1" applyFont="1" applyProtection="1">
      <protection locked="0"/>
    </xf>
    <xf numFmtId="0" fontId="35" fillId="0" borderId="18" xfId="40" applyNumberFormat="1" applyFont="1" applyBorder="1" applyProtection="1">
      <protection locked="0"/>
    </xf>
    <xf numFmtId="0" fontId="35" fillId="0" borderId="15" xfId="40" applyNumberFormat="1" applyFont="1" applyFill="1" applyBorder="1" applyAlignment="1" applyProtection="1">
      <protection locked="0"/>
    </xf>
    <xf numFmtId="0" fontId="35" fillId="0" borderId="15" xfId="40" applyNumberFormat="1" applyFont="1" applyBorder="1" applyProtection="1">
      <protection locked="0"/>
    </xf>
    <xf numFmtId="14" fontId="35" fillId="0" borderId="27" xfId="40" applyNumberFormat="1" applyFont="1" applyBorder="1" applyAlignment="1" applyProtection="1">
      <alignment horizontal="right"/>
      <protection locked="0"/>
    </xf>
    <xf numFmtId="14" fontId="35" fillId="0" borderId="0" xfId="40" applyNumberFormat="1" applyFont="1" applyBorder="1" applyAlignment="1" applyProtection="1">
      <alignment horizontal="right"/>
      <protection locked="0"/>
    </xf>
    <xf numFmtId="170" fontId="17" fillId="0" borderId="18" xfId="0" applyNumberFormat="1" applyFont="1" applyFill="1" applyBorder="1" applyAlignment="1" applyProtection="1">
      <alignment horizontal="right"/>
      <protection locked="0"/>
    </xf>
    <xf numFmtId="170" fontId="17" fillId="0" borderId="16" xfId="0" applyNumberFormat="1" applyFont="1" applyFill="1" applyBorder="1" applyAlignment="1" applyProtection="1">
      <alignment horizontal="right"/>
      <protection locked="0"/>
    </xf>
    <xf numFmtId="0" fontId="2" fillId="25" borderId="0" xfId="0" applyFont="1" applyFill="1" applyBorder="1"/>
    <xf numFmtId="0" fontId="7" fillId="24" borderId="15" xfId="0" applyNumberFormat="1" applyFont="1" applyFill="1" applyBorder="1"/>
    <xf numFmtId="0" fontId="3" fillId="25" borderId="0" xfId="0" applyNumberFormat="1" applyFont="1" applyFill="1" applyBorder="1"/>
    <xf numFmtId="0" fontId="3" fillId="25" borderId="0" xfId="0" applyFont="1" applyFill="1" applyBorder="1" applyAlignment="1">
      <alignment horizontal="right"/>
    </xf>
    <xf numFmtId="164" fontId="3" fillId="25" borderId="0" xfId="0" applyNumberFormat="1" applyFont="1" applyFill="1" applyBorder="1" applyAlignment="1">
      <alignment horizontal="right"/>
    </xf>
    <xf numFmtId="1" fontId="3" fillId="25" borderId="0" xfId="0" applyNumberFormat="1" applyFont="1" applyFill="1" applyBorder="1" applyAlignment="1">
      <alignment horizontal="right"/>
    </xf>
    <xf numFmtId="0" fontId="2" fillId="25" borderId="0" xfId="0" applyNumberFormat="1" applyFont="1" applyFill="1" applyBorder="1"/>
    <xf numFmtId="0" fontId="2" fillId="25" borderId="0" xfId="0" applyFont="1" applyFill="1" applyBorder="1" applyAlignment="1">
      <alignment horizontal="right"/>
    </xf>
    <xf numFmtId="164" fontId="2" fillId="25" borderId="0" xfId="0" applyNumberFormat="1" applyFont="1" applyFill="1" applyBorder="1" applyAlignment="1">
      <alignment horizontal="right"/>
    </xf>
    <xf numFmtId="1" fontId="2" fillId="25" borderId="0" xfId="0" applyNumberFormat="1" applyFont="1" applyFill="1" applyBorder="1" applyAlignment="1">
      <alignment horizontal="right"/>
    </xf>
    <xf numFmtId="0" fontId="3" fillId="25" borderId="0" xfId="0" applyFont="1" applyFill="1" applyBorder="1"/>
    <xf numFmtId="171" fontId="2" fillId="25" borderId="0" xfId="0" applyNumberFormat="1" applyFont="1" applyFill="1" applyBorder="1" applyAlignment="1">
      <alignment horizontal="right"/>
    </xf>
    <xf numFmtId="171" fontId="41" fillId="25" borderId="0" xfId="0" applyNumberFormat="1" applyFont="1" applyFill="1" applyBorder="1" applyAlignment="1">
      <alignment horizontal="right"/>
    </xf>
    <xf numFmtId="172" fontId="41" fillId="25" borderId="0" xfId="40" applyNumberFormat="1" applyFont="1" applyFill="1" applyBorder="1" applyAlignment="1">
      <alignment horizontal="right"/>
    </xf>
    <xf numFmtId="172" fontId="41" fillId="25" borderId="0" xfId="40" applyNumberFormat="1" applyFont="1" applyFill="1" applyBorder="1"/>
    <xf numFmtId="3" fontId="41" fillId="25" borderId="0" xfId="0" applyNumberFormat="1" applyFont="1" applyFill="1" applyBorder="1" applyAlignment="1">
      <alignment horizontal="right"/>
    </xf>
    <xf numFmtId="3" fontId="2" fillId="25" borderId="0" xfId="0" applyNumberFormat="1" applyFont="1" applyFill="1" applyBorder="1" applyAlignment="1">
      <alignment horizontal="right"/>
    </xf>
    <xf numFmtId="3" fontId="2" fillId="25" borderId="0" xfId="0" applyNumberFormat="1" applyFont="1" applyFill="1" applyBorder="1"/>
    <xf numFmtId="172" fontId="2" fillId="25" borderId="0" xfId="40" applyNumberFormat="1" applyFont="1" applyFill="1" applyBorder="1" applyAlignment="1">
      <alignment horizontal="right"/>
    </xf>
    <xf numFmtId="173" fontId="41" fillId="25" borderId="0" xfId="0" applyNumberFormat="1" applyFont="1" applyFill="1" applyBorder="1" applyAlignment="1">
      <alignment horizontal="right"/>
    </xf>
    <xf numFmtId="3" fontId="3" fillId="25" borderId="0" xfId="0" applyNumberFormat="1" applyFont="1" applyFill="1" applyBorder="1" applyAlignment="1">
      <alignment horizontal="right"/>
    </xf>
    <xf numFmtId="6" fontId="2" fillId="0" borderId="27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Fill="1" applyBorder="1" applyAlignment="1" applyProtection="1">
      <alignment horizontal="right"/>
      <protection locked="0"/>
    </xf>
    <xf numFmtId="17" fontId="7" fillId="24" borderId="0" xfId="0" applyNumberFormat="1" applyFont="1" applyFill="1" applyBorder="1" applyAlignment="1">
      <alignment horizontal="right"/>
    </xf>
    <xf numFmtId="17" fontId="2" fillId="20" borderId="13" xfId="0" applyNumberFormat="1" applyFont="1" applyFill="1" applyBorder="1" applyAlignment="1">
      <alignment horizontal="right"/>
    </xf>
    <xf numFmtId="9" fontId="2" fillId="0" borderId="0" xfId="0" applyNumberFormat="1" applyFont="1" applyAlignment="1">
      <alignment horizontal="right"/>
    </xf>
    <xf numFmtId="9" fontId="41" fillId="0" borderId="0" xfId="0" applyNumberFormat="1" applyFont="1" applyAlignment="1">
      <alignment horizontal="right"/>
    </xf>
    <xf numFmtId="9" fontId="41" fillId="0" borderId="0" xfId="0" applyNumberFormat="1" applyFont="1" applyBorder="1" applyAlignment="1">
      <alignment horizontal="right"/>
    </xf>
    <xf numFmtId="173" fontId="2" fillId="0" borderId="0" xfId="0" applyNumberFormat="1" applyFont="1" applyAlignment="1">
      <alignment horizontal="right"/>
    </xf>
    <xf numFmtId="17" fontId="7" fillId="24" borderId="13" xfId="0" applyNumberFormat="1" applyFont="1" applyFill="1" applyBorder="1" applyAlignment="1">
      <alignment horizontal="right"/>
    </xf>
    <xf numFmtId="0" fontId="2" fillId="0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protection locked="0"/>
    </xf>
    <xf numFmtId="0" fontId="38" fillId="0" borderId="0" xfId="0" applyFont="1"/>
    <xf numFmtId="9" fontId="38" fillId="0" borderId="0" xfId="40" applyFont="1"/>
    <xf numFmtId="0" fontId="38" fillId="0" borderId="30" xfId="0" applyFont="1" applyFill="1" applyBorder="1" applyAlignment="1">
      <alignment horizontal="right"/>
    </xf>
    <xf numFmtId="168" fontId="38" fillId="0" borderId="30" xfId="0" applyNumberFormat="1" applyFont="1" applyFill="1" applyBorder="1" applyAlignment="1">
      <alignment horizontal="right"/>
    </xf>
    <xf numFmtId="168" fontId="38" fillId="0" borderId="31" xfId="0" applyNumberFormat="1" applyFont="1" applyFill="1" applyBorder="1" applyAlignment="1">
      <alignment horizontal="right"/>
    </xf>
    <xf numFmtId="0" fontId="38" fillId="0" borderId="30" xfId="0" applyFont="1" applyFill="1" applyBorder="1" applyAlignment="1" applyProtection="1">
      <alignment horizontal="right"/>
    </xf>
    <xf numFmtId="168" fontId="38" fillId="0" borderId="30" xfId="0" applyNumberFormat="1" applyFont="1" applyFill="1" applyBorder="1" applyAlignment="1" applyProtection="1">
      <alignment horizontal="right"/>
    </xf>
    <xf numFmtId="168" fontId="38" fillId="0" borderId="31" xfId="0" applyNumberFormat="1" applyFont="1" applyFill="1" applyBorder="1" applyAlignment="1" applyProtection="1">
      <alignment horizontal="right"/>
    </xf>
    <xf numFmtId="0" fontId="38" fillId="0" borderId="23" xfId="0" applyFont="1" applyFill="1" applyBorder="1"/>
    <xf numFmtId="174" fontId="38" fillId="0" borderId="30" xfId="0" applyNumberFormat="1" applyFont="1" applyFill="1" applyBorder="1" applyAlignment="1">
      <alignment horizontal="right"/>
    </xf>
    <xf numFmtId="0" fontId="38" fillId="0" borderId="15" xfId="0" applyFont="1" applyFill="1" applyBorder="1"/>
    <xf numFmtId="0" fontId="38" fillId="0" borderId="0" xfId="0" applyFont="1" applyFill="1" applyBorder="1" applyAlignment="1">
      <alignment horizontal="right"/>
    </xf>
    <xf numFmtId="168" fontId="38" fillId="0" borderId="0" xfId="0" applyNumberFormat="1" applyFont="1" applyAlignment="1">
      <alignment horizontal="right"/>
    </xf>
    <xf numFmtId="174" fontId="38" fillId="0" borderId="0" xfId="0" applyNumberFormat="1" applyFont="1" applyAlignment="1">
      <alignment horizontal="right"/>
    </xf>
    <xf numFmtId="0" fontId="38" fillId="0" borderId="0" xfId="0" applyFont="1" applyBorder="1" applyAlignment="1">
      <alignment horizontal="right"/>
    </xf>
    <xf numFmtId="168" fontId="38" fillId="0" borderId="17" xfId="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 applyProtection="1">
      <alignment horizontal="right"/>
    </xf>
    <xf numFmtId="168" fontId="38" fillId="0" borderId="0" xfId="0" applyNumberFormat="1" applyFont="1" applyAlignment="1" applyProtection="1">
      <alignment horizontal="right"/>
    </xf>
    <xf numFmtId="168" fontId="38" fillId="0" borderId="17" xfId="0" applyNumberFormat="1" applyFont="1" applyBorder="1" applyAlignment="1" applyProtection="1">
      <alignment horizontal="right"/>
    </xf>
    <xf numFmtId="168" fontId="38" fillId="0" borderId="0" xfId="0" applyNumberFormat="1" applyFont="1" applyBorder="1" applyAlignment="1" applyProtection="1">
      <alignment horizontal="right"/>
    </xf>
    <xf numFmtId="6" fontId="38" fillId="0" borderId="0" xfId="0" applyNumberFormat="1" applyFont="1" applyAlignment="1">
      <alignment horizontal="right"/>
    </xf>
    <xf numFmtId="6" fontId="38" fillId="0" borderId="0" xfId="0" applyNumberFormat="1" applyFont="1" applyBorder="1" applyAlignment="1">
      <alignment horizontal="right"/>
    </xf>
    <xf numFmtId="6" fontId="38" fillId="0" borderId="17" xfId="0" applyNumberFormat="1" applyFont="1" applyBorder="1" applyAlignment="1">
      <alignment horizontal="right"/>
    </xf>
    <xf numFmtId="6" fontId="38" fillId="0" borderId="0" xfId="0" applyNumberFormat="1" applyFont="1" applyAlignment="1" applyProtection="1">
      <alignment horizontal="right"/>
    </xf>
    <xf numFmtId="6" fontId="38" fillId="0" borderId="17" xfId="0" applyNumberFormat="1" applyFont="1" applyBorder="1" applyAlignment="1" applyProtection="1">
      <alignment horizontal="right"/>
    </xf>
    <xf numFmtId="6" fontId="38" fillId="0" borderId="0" xfId="0" applyNumberFormat="1" applyFont="1" applyBorder="1" applyAlignment="1" applyProtection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 applyAlignment="1" applyProtection="1">
      <alignment horizontal="right"/>
    </xf>
    <xf numFmtId="0" fontId="3" fillId="0" borderId="25" xfId="0" applyFont="1" applyBorder="1"/>
    <xf numFmtId="6" fontId="3" fillId="0" borderId="25" xfId="0" applyNumberFormat="1" applyFont="1" applyFill="1" applyBorder="1" applyAlignment="1" applyProtection="1">
      <alignment horizontal="right"/>
    </xf>
    <xf numFmtId="6" fontId="3" fillId="0" borderId="25" xfId="0" applyNumberFormat="1" applyFont="1" applyBorder="1"/>
    <xf numFmtId="0" fontId="4" fillId="24" borderId="0" xfId="0" applyFont="1" applyFill="1" applyBorder="1" applyAlignment="1">
      <alignment horizontal="right"/>
    </xf>
    <xf numFmtId="0" fontId="2" fillId="0" borderId="15" xfId="0" applyNumberFormat="1" applyFont="1" applyFill="1" applyBorder="1"/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Protection="1"/>
    <xf numFmtId="0" fontId="3" fillId="0" borderId="0" xfId="0" applyFont="1" applyProtection="1"/>
    <xf numFmtId="6" fontId="3" fillId="0" borderId="0" xfId="0" applyNumberFormat="1" applyFont="1" applyBorder="1" applyAlignment="1" applyProtection="1">
      <alignment horizontal="right"/>
    </xf>
    <xf numFmtId="0" fontId="3" fillId="0" borderId="10" xfId="0" applyFont="1" applyBorder="1" applyProtection="1"/>
    <xf numFmtId="0" fontId="3" fillId="0" borderId="10" xfId="0" applyFont="1" applyFill="1" applyBorder="1" applyAlignment="1">
      <alignment horizontal="right"/>
    </xf>
    <xf numFmtId="6" fontId="3" fillId="0" borderId="10" xfId="0" applyNumberFormat="1" applyFont="1" applyBorder="1" applyAlignment="1" applyProtection="1">
      <alignment horizontal="right"/>
    </xf>
    <xf numFmtId="0" fontId="3" fillId="0" borderId="10" xfId="0" applyFont="1" applyFill="1" applyBorder="1"/>
    <xf numFmtId="0" fontId="0" fillId="0" borderId="0" xfId="0" applyProtection="1"/>
    <xf numFmtId="0" fontId="0" fillId="0" borderId="0" xfId="0" applyFont="1" applyProtection="1"/>
    <xf numFmtId="6" fontId="41" fillId="0" borderId="0" xfId="0" applyNumberFormat="1" applyFont="1" applyBorder="1" applyAlignment="1" applyProtection="1">
      <alignment horizontal="right"/>
    </xf>
    <xf numFmtId="6" fontId="2" fillId="8" borderId="13" xfId="0" applyNumberFormat="1" applyFont="1" applyFill="1" applyBorder="1" applyAlignment="1" applyProtection="1">
      <alignment horizontal="right"/>
    </xf>
    <xf numFmtId="6" fontId="3" fillId="20" borderId="13" xfId="0" applyNumberFormat="1" applyFont="1" applyFill="1" applyBorder="1" applyAlignment="1">
      <alignment horizontal="right"/>
    </xf>
    <xf numFmtId="6" fontId="3" fillId="20" borderId="14" xfId="0" applyNumberFormat="1" applyFont="1" applyFill="1" applyBorder="1" applyAlignment="1">
      <alignment horizontal="right"/>
    </xf>
    <xf numFmtId="6" fontId="3" fillId="0" borderId="0" xfId="0" applyNumberFormat="1" applyFont="1" applyAlignment="1">
      <alignment horizontal="right"/>
    </xf>
    <xf numFmtId="6" fontId="3" fillId="0" borderId="17" xfId="0" applyNumberFormat="1" applyFont="1" applyBorder="1" applyAlignment="1">
      <alignment horizontal="right"/>
    </xf>
    <xf numFmtId="6" fontId="3" fillId="0" borderId="0" xfId="0" applyNumberFormat="1" applyFont="1" applyBorder="1" applyAlignment="1">
      <alignment horizontal="right"/>
    </xf>
    <xf numFmtId="6" fontId="3" fillId="0" borderId="0" xfId="0" applyNumberFormat="1" applyFont="1" applyAlignment="1" applyProtection="1">
      <alignment horizontal="right"/>
    </xf>
    <xf numFmtId="6" fontId="3" fillId="0" borderId="17" xfId="0" applyNumberFormat="1" applyFont="1" applyBorder="1" applyAlignment="1" applyProtection="1">
      <alignment horizontal="right"/>
    </xf>
    <xf numFmtId="6" fontId="3" fillId="20" borderId="27" xfId="0" applyNumberFormat="1" applyFont="1" applyFill="1" applyBorder="1" applyAlignment="1">
      <alignment horizontal="right"/>
    </xf>
    <xf numFmtId="6" fontId="3" fillId="20" borderId="16" xfId="0" applyNumberFormat="1" applyFont="1" applyFill="1" applyBorder="1" applyAlignment="1">
      <alignment horizontal="right"/>
    </xf>
    <xf numFmtId="6" fontId="3" fillId="20" borderId="27" xfId="0" applyNumberFormat="1" applyFont="1" applyFill="1" applyBorder="1" applyAlignment="1" applyProtection="1">
      <alignment horizontal="right"/>
    </xf>
    <xf numFmtId="6" fontId="3" fillId="20" borderId="16" xfId="0" applyNumberFormat="1" applyFont="1" applyFill="1" applyBorder="1" applyAlignment="1" applyProtection="1">
      <alignment horizontal="right"/>
    </xf>
    <xf numFmtId="0" fontId="3" fillId="25" borderId="25" xfId="0" applyNumberFormat="1" applyFont="1" applyFill="1" applyBorder="1"/>
    <xf numFmtId="0" fontId="3" fillId="25" borderId="25" xfId="0" applyFont="1" applyFill="1" applyBorder="1" applyAlignment="1">
      <alignment horizontal="right"/>
    </xf>
    <xf numFmtId="173" fontId="3" fillId="25" borderId="25" xfId="0" applyNumberFormat="1" applyFont="1" applyFill="1" applyBorder="1" applyAlignment="1">
      <alignment horizontal="right"/>
    </xf>
    <xf numFmtId="0" fontId="3" fillId="25" borderId="25" xfId="0" applyFont="1" applyFill="1" applyBorder="1"/>
    <xf numFmtId="173" fontId="2" fillId="25" borderId="0" xfId="0" applyNumberFormat="1" applyFont="1" applyFill="1" applyBorder="1" applyAlignment="1">
      <alignment horizontal="right"/>
    </xf>
    <xf numFmtId="173" fontId="41" fillId="26" borderId="0" xfId="0" applyNumberFormat="1" applyFont="1" applyFill="1" applyBorder="1" applyAlignment="1">
      <alignment horizontal="right"/>
    </xf>
    <xf numFmtId="0" fontId="3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right"/>
    </xf>
    <xf numFmtId="6" fontId="41" fillId="0" borderId="0" xfId="0" applyNumberFormat="1" applyFont="1"/>
    <xf numFmtId="0" fontId="3" fillId="0" borderId="0" xfId="0" applyFont="1" applyFill="1" applyBorder="1" applyAlignment="1" applyProtection="1">
      <alignment horizontal="right"/>
    </xf>
    <xf numFmtId="6" fontId="3" fillId="0" borderId="0" xfId="0" applyNumberFormat="1" applyFont="1" applyFill="1" applyBorder="1" applyAlignment="1" applyProtection="1">
      <alignment horizontal="right"/>
    </xf>
    <xf numFmtId="0" fontId="3" fillId="0" borderId="15" xfId="0" applyNumberFormat="1" applyFont="1" applyFill="1" applyBorder="1" applyAlignment="1" applyProtection="1">
      <protection locked="0"/>
    </xf>
    <xf numFmtId="6" fontId="3" fillId="0" borderId="0" xfId="0" applyNumberFormat="1" applyFont="1" applyFill="1" applyBorder="1" applyAlignment="1" applyProtection="1">
      <alignment horizontal="right"/>
      <protection locked="0"/>
    </xf>
    <xf numFmtId="6" fontId="42" fillId="0" borderId="17" xfId="0" applyNumberFormat="1" applyFont="1" applyBorder="1" applyAlignment="1">
      <alignment horizontal="right"/>
    </xf>
    <xf numFmtId="6" fontId="18" fillId="0" borderId="17" xfId="0" applyNumberFormat="1" applyFont="1" applyFill="1" applyBorder="1" applyAlignment="1" applyProtection="1">
      <alignment horizontal="right"/>
      <protection locked="0"/>
    </xf>
    <xf numFmtId="6" fontId="42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Protection="1"/>
    <xf numFmtId="0" fontId="38" fillId="0" borderId="0" xfId="0" applyFont="1" applyFill="1" applyBorder="1" applyAlignment="1" applyProtection="1">
      <alignment horizontal="right"/>
    </xf>
    <xf numFmtId="172" fontId="38" fillId="0" borderId="0" xfId="40" applyNumberFormat="1" applyFont="1" applyFill="1" applyBorder="1" applyAlignment="1" applyProtection="1">
      <alignment horizontal="right"/>
    </xf>
    <xf numFmtId="9" fontId="41" fillId="26" borderId="0" xfId="0" applyNumberFormat="1" applyFont="1" applyFill="1" applyBorder="1" applyAlignment="1">
      <alignment horizontal="right"/>
    </xf>
    <xf numFmtId="0" fontId="3" fillId="0" borderId="15" xfId="0" applyNumberFormat="1" applyFont="1" applyFill="1" applyBorder="1"/>
    <xf numFmtId="0" fontId="3" fillId="0" borderId="0" xfId="0" applyNumberFormat="1" applyFont="1" applyFill="1" applyBorder="1"/>
    <xf numFmtId="0" fontId="2" fillId="0" borderId="0" xfId="0" applyNumberFormat="1" applyFont="1" applyFill="1" applyBorder="1"/>
    <xf numFmtId="175" fontId="2" fillId="0" borderId="0" xfId="0" applyNumberFormat="1" applyFont="1" applyFill="1" applyBorder="1" applyAlignment="1">
      <alignment horizontal="right"/>
    </xf>
    <xf numFmtId="175" fontId="41" fillId="26" borderId="0" xfId="0" applyNumberFormat="1" applyFont="1" applyFill="1" applyBorder="1" applyAlignment="1">
      <alignment horizontal="right"/>
    </xf>
    <xf numFmtId="0" fontId="41" fillId="26" borderId="0" xfId="0" applyFont="1" applyFill="1"/>
    <xf numFmtId="0" fontId="3" fillId="0" borderId="25" xfId="0" applyFont="1" applyBorder="1" applyProtection="1"/>
    <xf numFmtId="175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9" fontId="2" fillId="0" borderId="0" xfId="40" applyFont="1" applyFill="1"/>
    <xf numFmtId="9" fontId="2" fillId="0" borderId="0" xfId="0" applyNumberFormat="1" applyFont="1" applyFill="1"/>
    <xf numFmtId="0" fontId="3" fillId="0" borderId="25" xfId="0" applyFont="1" applyFill="1" applyBorder="1"/>
    <xf numFmtId="3" fontId="2" fillId="0" borderId="0" xfId="0" applyNumberFormat="1" applyFont="1" applyFill="1"/>
    <xf numFmtId="6" fontId="42" fillId="0" borderId="17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protection locked="0"/>
    </xf>
    <xf numFmtId="6" fontId="41" fillId="0" borderId="0" xfId="0" applyNumberFormat="1" applyFont="1" applyFill="1" applyBorder="1" applyAlignment="1" applyProtection="1">
      <alignment horizontal="right"/>
      <protection locked="0"/>
    </xf>
    <xf numFmtId="0" fontId="39" fillId="0" borderId="0" xfId="0" applyNumberFormat="1" applyFont="1" applyFill="1" applyBorder="1" applyAlignment="1" applyProtection="1">
      <protection locked="0"/>
    </xf>
    <xf numFmtId="176" fontId="41" fillId="0" borderId="0" xfId="0" applyNumberFormat="1" applyFont="1" applyFill="1" applyBorder="1" applyAlignment="1" applyProtection="1">
      <alignment horizontal="right"/>
      <protection locked="0"/>
    </xf>
    <xf numFmtId="6" fontId="2" fillId="0" borderId="2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protection locked="0"/>
    </xf>
    <xf numFmtId="6" fontId="3" fillId="0" borderId="25" xfId="0" applyNumberFormat="1" applyFont="1" applyFill="1" applyBorder="1" applyAlignment="1" applyProtection="1">
      <alignment horizontal="right"/>
      <protection locked="0"/>
    </xf>
    <xf numFmtId="6" fontId="8" fillId="0" borderId="0" xfId="0" applyNumberFormat="1" applyFont="1" applyBorder="1" applyAlignment="1" applyProtection="1">
      <alignment horizontal="right"/>
    </xf>
    <xf numFmtId="5" fontId="38" fillId="0" borderId="17" xfId="0" applyNumberFormat="1" applyFont="1" applyBorder="1" applyAlignment="1">
      <alignment horizontal="right"/>
    </xf>
    <xf numFmtId="172" fontId="38" fillId="0" borderId="0" xfId="40" applyNumberFormat="1" applyFont="1"/>
    <xf numFmtId="172" fontId="2" fillId="0" borderId="0" xfId="40" applyNumberFormat="1" applyFont="1"/>
    <xf numFmtId="6" fontId="17" fillId="0" borderId="0" xfId="0" applyNumberFormat="1" applyFont="1" applyBorder="1" applyAlignment="1" applyProtection="1">
      <alignment horizontal="right"/>
      <protection locked="0"/>
    </xf>
    <xf numFmtId="6" fontId="17" fillId="0" borderId="15" xfId="0" applyNumberFormat="1" applyFont="1" applyBorder="1" applyAlignment="1" applyProtection="1">
      <alignment horizontal="right"/>
      <protection locked="0"/>
    </xf>
    <xf numFmtId="0" fontId="3" fillId="0" borderId="0" xfId="0" applyFont="1" applyBorder="1"/>
    <xf numFmtId="0" fontId="38" fillId="0" borderId="0" xfId="0" applyFont="1" applyBorder="1"/>
    <xf numFmtId="172" fontId="2" fillId="0" borderId="0" xfId="0" applyNumberFormat="1" applyFont="1"/>
    <xf numFmtId="172" fontId="3" fillId="0" borderId="0" xfId="40" applyNumberFormat="1" applyFont="1"/>
    <xf numFmtId="6" fontId="2" fillId="0" borderId="17" xfId="0" applyNumberFormat="1" applyFont="1" applyFill="1" applyBorder="1" applyAlignment="1" applyProtection="1">
      <alignment horizontal="right"/>
      <protection locked="0"/>
    </xf>
    <xf numFmtId="172" fontId="41" fillId="0" borderId="0" xfId="0" applyNumberFormat="1" applyFont="1" applyFill="1"/>
    <xf numFmtId="10" fontId="43" fillId="0" borderId="0" xfId="0" applyNumberFormat="1" applyFont="1" applyFill="1" applyBorder="1" applyAlignment="1">
      <alignment horizontal="right"/>
    </xf>
    <xf numFmtId="6" fontId="3" fillId="0" borderId="0" xfId="0" applyNumberFormat="1" applyFont="1" applyBorder="1"/>
    <xf numFmtId="17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6" fontId="44" fillId="0" borderId="0" xfId="0" applyNumberFormat="1" applyFont="1"/>
    <xf numFmtId="6" fontId="2" fillId="0" borderId="9" xfId="0" applyNumberFormat="1" applyFont="1" applyBorder="1" applyAlignment="1">
      <alignment horizontal="center"/>
    </xf>
    <xf numFmtId="6" fontId="2" fillId="0" borderId="10" xfId="0" applyNumberFormat="1" applyFont="1" applyBorder="1" applyAlignment="1">
      <alignment horizontal="center"/>
    </xf>
    <xf numFmtId="6" fontId="2" fillId="0" borderId="15" xfId="0" applyNumberFormat="1" applyFont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6" fontId="2" fillId="26" borderId="0" xfId="0" applyNumberFormat="1" applyFont="1" applyFill="1" applyBorder="1" applyAlignment="1">
      <alignment horizontal="center"/>
    </xf>
    <xf numFmtId="0" fontId="38" fillId="0" borderId="15" xfId="0" applyNumberFormat="1" applyFont="1" applyFill="1" applyBorder="1"/>
    <xf numFmtId="0" fontId="38" fillId="0" borderId="0" xfId="0" applyFont="1" applyFill="1" applyBorder="1"/>
    <xf numFmtId="9" fontId="38" fillId="0" borderId="0" xfId="40" applyFont="1" applyBorder="1" applyAlignment="1" applyProtection="1">
      <alignment horizontal="right"/>
    </xf>
    <xf numFmtId="0" fontId="38" fillId="0" borderId="0" xfId="0" applyNumberFormat="1" applyFont="1" applyFill="1" applyBorder="1"/>
    <xf numFmtId="0" fontId="3" fillId="0" borderId="0" xfId="0" applyFont="1" applyBorder="1" applyProtection="1"/>
    <xf numFmtId="0" fontId="17" fillId="26" borderId="0" xfId="40" applyNumberFormat="1" applyFont="1" applyFill="1" applyBorder="1" applyAlignment="1" applyProtection="1">
      <alignment horizontal="right"/>
      <protection locked="0"/>
    </xf>
    <xf numFmtId="0" fontId="39" fillId="0" borderId="0" xfId="0" applyFont="1"/>
    <xf numFmtId="172" fontId="44" fillId="0" borderId="0" xfId="0" applyNumberFormat="1" applyFont="1"/>
    <xf numFmtId="172" fontId="2" fillId="0" borderId="15" xfId="0" applyNumberFormat="1" applyFont="1" applyBorder="1"/>
    <xf numFmtId="172" fontId="2" fillId="0" borderId="9" xfId="0" applyNumberFormat="1" applyFont="1" applyBorder="1"/>
    <xf numFmtId="172" fontId="2" fillId="0" borderId="10" xfId="0" applyNumberFormat="1" applyFont="1" applyBorder="1"/>
    <xf numFmtId="0" fontId="3" fillId="25" borderId="15" xfId="0" applyNumberFormat="1" applyFont="1" applyFill="1" applyBorder="1" applyAlignment="1" applyProtection="1">
      <protection locked="0"/>
    </xf>
    <xf numFmtId="0" fontId="3" fillId="25" borderId="0" xfId="0" applyFont="1" applyFill="1" applyBorder="1" applyAlignment="1" applyProtection="1">
      <alignment horizontal="right"/>
    </xf>
    <xf numFmtId="6" fontId="3" fillId="25" borderId="0" xfId="0" applyNumberFormat="1" applyFont="1" applyFill="1" applyBorder="1" applyAlignment="1" applyProtection="1">
      <alignment horizontal="right"/>
      <protection locked="0"/>
    </xf>
    <xf numFmtId="6" fontId="42" fillId="25" borderId="17" xfId="0" applyNumberFormat="1" applyFont="1" applyFill="1" applyBorder="1" applyAlignment="1">
      <alignment horizontal="right"/>
    </xf>
    <xf numFmtId="6" fontId="18" fillId="25" borderId="17" xfId="0" applyNumberFormat="1" applyFont="1" applyFill="1" applyBorder="1" applyAlignment="1" applyProtection="1">
      <alignment horizontal="right"/>
      <protection locked="0"/>
    </xf>
    <xf numFmtId="172" fontId="41" fillId="26" borderId="0" xfId="0" applyNumberFormat="1" applyFont="1" applyFill="1" applyBorder="1" applyAlignment="1">
      <alignment horizontal="right"/>
    </xf>
    <xf numFmtId="0" fontId="40" fillId="0" borderId="15" xfId="0" applyNumberFormat="1" applyFont="1" applyFill="1" applyBorder="1" applyAlignment="1" applyProtection="1">
      <alignment horizontal="left" indent="1"/>
      <protection locked="0"/>
    </xf>
    <xf numFmtId="0" fontId="40" fillId="0" borderId="15" xfId="0" applyFont="1" applyFill="1" applyBorder="1" applyAlignment="1" applyProtection="1">
      <alignment horizontal="left" indent="1"/>
      <protection locked="0"/>
    </xf>
    <xf numFmtId="0" fontId="38" fillId="0" borderId="0" xfId="0" applyFont="1" applyAlignment="1">
      <alignment horizontal="left" indent="1"/>
    </xf>
    <xf numFmtId="6" fontId="38" fillId="0" borderId="17" xfId="0" applyNumberFormat="1" applyFont="1" applyFill="1" applyBorder="1" applyAlignment="1" applyProtection="1">
      <alignment horizontal="right"/>
      <protection locked="0"/>
    </xf>
    <xf numFmtId="6" fontId="38" fillId="0" borderId="31" xfId="0" applyNumberFormat="1" applyFont="1" applyFill="1" applyBorder="1" applyAlignment="1" applyProtection="1">
      <alignment horizontal="right"/>
      <protection locked="0"/>
    </xf>
    <xf numFmtId="6" fontId="38" fillId="0" borderId="29" xfId="0" applyNumberFormat="1" applyFont="1" applyFill="1" applyBorder="1" applyAlignment="1" applyProtection="1">
      <alignment horizontal="right"/>
      <protection locked="0"/>
    </xf>
    <xf numFmtId="6" fontId="0" fillId="0" borderId="0" xfId="0" applyNumberFormat="1"/>
    <xf numFmtId="0" fontId="10" fillId="24" borderId="10" xfId="0" applyFont="1" applyFill="1" applyBorder="1"/>
    <xf numFmtId="0" fontId="7" fillId="24" borderId="0" xfId="0" applyNumberFormat="1" applyFont="1" applyFill="1" applyBorder="1"/>
    <xf numFmtId="0" fontId="10" fillId="24" borderId="10" xfId="0" applyNumberFormat="1" applyFont="1" applyFill="1" applyBorder="1"/>
    <xf numFmtId="0" fontId="6" fillId="20" borderId="13" xfId="0" applyNumberFormat="1" applyFont="1" applyFill="1" applyBorder="1"/>
    <xf numFmtId="0" fontId="17" fillId="0" borderId="27" xfId="0" applyNumberFormat="1" applyFont="1" applyBorder="1" applyProtection="1">
      <protection locked="0"/>
    </xf>
    <xf numFmtId="0" fontId="17" fillId="0" borderId="0" xfId="0" applyNumberFormat="1" applyFont="1" applyBorder="1" applyProtection="1">
      <protection locked="0"/>
    </xf>
    <xf numFmtId="0" fontId="3" fillId="0" borderId="27" xfId="0" applyNumberFormat="1" applyFont="1" applyFill="1" applyBorder="1"/>
    <xf numFmtId="0" fontId="2" fillId="0" borderId="0" xfId="0" applyNumberFormat="1" applyFont="1" applyBorder="1"/>
    <xf numFmtId="0" fontId="3" fillId="0" borderId="28" xfId="0" applyNumberFormat="1" applyFont="1" applyFill="1" applyBorder="1"/>
    <xf numFmtId="6" fontId="2" fillId="0" borderId="13" xfId="0" applyNumberFormat="1" applyFont="1" applyFill="1" applyBorder="1" applyAlignment="1" applyProtection="1">
      <alignment horizontal="right"/>
    </xf>
    <xf numFmtId="0" fontId="10" fillId="24" borderId="12" xfId="0" applyFont="1" applyFill="1" applyBorder="1"/>
    <xf numFmtId="6" fontId="42" fillId="25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40" applyNumberFormat="1" applyFont="1" applyFill="1" applyBorder="1" applyAlignment="1" applyProtection="1">
      <alignment horizontal="right"/>
      <protection locked="0"/>
    </xf>
    <xf numFmtId="177" fontId="2" fillId="25" borderId="0" xfId="28" applyNumberFormat="1" applyFont="1" applyFill="1" applyBorder="1"/>
    <xf numFmtId="6" fontId="17" fillId="0" borderId="27" xfId="0" applyNumberFormat="1" applyFont="1" applyBorder="1" applyProtection="1">
      <protection locked="0"/>
    </xf>
    <xf numFmtId="0" fontId="3" fillId="0" borderId="25" xfId="0" applyNumberFormat="1" applyFont="1" applyFill="1" applyBorder="1" applyAlignment="1" applyProtection="1">
      <protection locked="0"/>
    </xf>
    <xf numFmtId="0" fontId="3" fillId="0" borderId="25" xfId="0" applyFont="1" applyFill="1" applyBorder="1" applyAlignment="1" applyProtection="1">
      <alignment horizontal="right"/>
    </xf>
    <xf numFmtId="0" fontId="2" fillId="0" borderId="25" xfId="0" applyNumberFormat="1" applyFont="1" applyFill="1" applyBorder="1" applyAlignment="1" applyProtection="1">
      <protection locked="0"/>
    </xf>
    <xf numFmtId="0" fontId="2" fillId="0" borderId="25" xfId="0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/>
    <xf numFmtId="172" fontId="38" fillId="0" borderId="0" xfId="0" applyNumberFormat="1" applyFont="1" applyAlignment="1">
      <alignment horizontal="right"/>
    </xf>
    <xf numFmtId="0" fontId="3" fillId="20" borderId="14" xfId="0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right"/>
    </xf>
    <xf numFmtId="0" fontId="2" fillId="0" borderId="14" xfId="0" applyFont="1" applyFill="1" applyBorder="1" applyAlignment="1" applyProtection="1">
      <alignment horizontal="right"/>
    </xf>
    <xf numFmtId="5" fontId="2" fillId="0" borderId="17" xfId="0" applyNumberFormat="1" applyFont="1" applyBorder="1"/>
    <xf numFmtId="0" fontId="7" fillId="24" borderId="17" xfId="0" applyNumberFormat="1" applyFont="1" applyFill="1" applyBorder="1" applyAlignment="1">
      <alignment horizontal="right"/>
    </xf>
    <xf numFmtId="0" fontId="2" fillId="0" borderId="17" xfId="0" applyFont="1" applyFill="1" applyBorder="1"/>
    <xf numFmtId="0" fontId="11" fillId="24" borderId="42" xfId="0" applyFont="1" applyFill="1" applyBorder="1" applyAlignment="1">
      <alignment horizontal="right"/>
    </xf>
    <xf numFmtId="0" fontId="7" fillId="24" borderId="43" xfId="0" applyNumberFormat="1" applyFont="1" applyFill="1" applyBorder="1" applyAlignment="1">
      <alignment horizontal="right"/>
    </xf>
    <xf numFmtId="1" fontId="3" fillId="20" borderId="44" xfId="0" applyNumberFormat="1" applyFont="1" applyFill="1" applyBorder="1" applyAlignment="1">
      <alignment horizontal="right"/>
    </xf>
    <xf numFmtId="1" fontId="2" fillId="0" borderId="43" xfId="0" applyNumberFormat="1" applyFont="1" applyFill="1" applyBorder="1" applyAlignment="1">
      <alignment horizontal="right"/>
    </xf>
    <xf numFmtId="1" fontId="2" fillId="0" borderId="44" xfId="0" applyNumberFormat="1" applyFont="1" applyFill="1" applyBorder="1" applyAlignment="1">
      <alignment horizontal="right"/>
    </xf>
    <xf numFmtId="6" fontId="2" fillId="0" borderId="43" xfId="0" applyNumberFormat="1" applyFont="1" applyBorder="1" applyAlignment="1">
      <alignment horizontal="right"/>
    </xf>
    <xf numFmtId="6" fontId="2" fillId="0" borderId="43" xfId="0" applyNumberFormat="1" applyFont="1" applyFill="1" applyBorder="1" applyAlignment="1" applyProtection="1">
      <alignment horizontal="right"/>
    </xf>
    <xf numFmtId="6" fontId="2" fillId="0" borderId="45" xfId="0" applyNumberFormat="1" applyFont="1" applyBorder="1" applyAlignment="1">
      <alignment horizontal="right"/>
    </xf>
    <xf numFmtId="6" fontId="2" fillId="0" borderId="44" xfId="0" applyNumberFormat="1" applyFont="1" applyBorder="1" applyAlignment="1">
      <alignment horizontal="right"/>
    </xf>
    <xf numFmtId="6" fontId="2" fillId="0" borderId="46" xfId="0" applyNumberFormat="1" applyFont="1" applyFill="1" applyBorder="1" applyAlignment="1">
      <alignment horizontal="right"/>
    </xf>
    <xf numFmtId="0" fontId="2" fillId="0" borderId="43" xfId="0" applyFont="1" applyBorder="1" applyAlignment="1">
      <alignment horizontal="right"/>
    </xf>
    <xf numFmtId="1" fontId="2" fillId="20" borderId="44" xfId="0" applyNumberFormat="1" applyFont="1" applyFill="1" applyBorder="1" applyAlignment="1">
      <alignment horizontal="right"/>
    </xf>
    <xf numFmtId="6" fontId="2" fillId="0" borderId="43" xfId="0" applyNumberFormat="1" applyFont="1" applyBorder="1" applyAlignment="1" applyProtection="1">
      <alignment horizontal="right"/>
    </xf>
    <xf numFmtId="6" fontId="2" fillId="0" borderId="47" xfId="0" applyNumberFormat="1" applyFont="1" applyFill="1" applyBorder="1" applyAlignment="1">
      <alignment horizontal="right"/>
    </xf>
    <xf numFmtId="6" fontId="2" fillId="0" borderId="48" xfId="0" applyNumberFormat="1" applyFont="1" applyFill="1" applyBorder="1" applyAlignment="1">
      <alignment horizontal="right"/>
    </xf>
    <xf numFmtId="6" fontId="2" fillId="0" borderId="43" xfId="0" applyNumberFormat="1" applyFont="1" applyFill="1" applyBorder="1" applyAlignment="1">
      <alignment horizontal="right"/>
    </xf>
    <xf numFmtId="5" fontId="2" fillId="0" borderId="43" xfId="0" applyNumberFormat="1" applyFont="1" applyBorder="1"/>
    <xf numFmtId="0" fontId="7" fillId="24" borderId="17" xfId="0" applyFont="1" applyFill="1" applyBorder="1" applyAlignment="1">
      <alignment horizontal="right"/>
    </xf>
    <xf numFmtId="0" fontId="3" fillId="25" borderId="17" xfId="0" applyFont="1" applyFill="1" applyBorder="1" applyAlignment="1">
      <alignment horizontal="right"/>
    </xf>
    <xf numFmtId="3" fontId="41" fillId="25" borderId="17" xfId="0" applyNumberFormat="1" applyFont="1" applyFill="1" applyBorder="1" applyAlignment="1">
      <alignment horizontal="right"/>
    </xf>
    <xf numFmtId="0" fontId="2" fillId="25" borderId="17" xfId="0" applyFont="1" applyFill="1" applyBorder="1" applyAlignment="1">
      <alignment horizontal="right"/>
    </xf>
    <xf numFmtId="172" fontId="2" fillId="25" borderId="17" xfId="0" applyNumberFormat="1" applyFont="1" applyFill="1" applyBorder="1" applyAlignment="1">
      <alignment horizontal="right"/>
    </xf>
    <xf numFmtId="3" fontId="2" fillId="25" borderId="17" xfId="0" applyNumberFormat="1" applyFont="1" applyFill="1" applyBorder="1" applyAlignment="1">
      <alignment horizontal="right"/>
    </xf>
    <xf numFmtId="171" fontId="2" fillId="25" borderId="17" xfId="0" applyNumberFormat="1" applyFont="1" applyFill="1" applyBorder="1" applyAlignment="1">
      <alignment horizontal="right"/>
    </xf>
    <xf numFmtId="3" fontId="3" fillId="25" borderId="17" xfId="0" applyNumberFormat="1" applyFont="1" applyFill="1" applyBorder="1" applyAlignment="1">
      <alignment horizontal="right"/>
    </xf>
    <xf numFmtId="173" fontId="2" fillId="25" borderId="17" xfId="0" applyNumberFormat="1" applyFont="1" applyFill="1" applyBorder="1" applyAlignment="1">
      <alignment horizontal="right"/>
    </xf>
    <xf numFmtId="173" fontId="3" fillId="25" borderId="26" xfId="0" applyNumberFormat="1" applyFont="1" applyFill="1" applyBorder="1" applyAlignment="1">
      <alignment horizontal="right"/>
    </xf>
    <xf numFmtId="0" fontId="2" fillId="20" borderId="14" xfId="0" applyNumberFormat="1" applyFont="1" applyFill="1" applyBorder="1" applyAlignment="1">
      <alignment horizontal="right"/>
    </xf>
    <xf numFmtId="6" fontId="2" fillId="0" borderId="16" xfId="0" applyNumberFormat="1" applyFont="1" applyBorder="1" applyProtection="1">
      <protection locked="0"/>
    </xf>
    <xf numFmtId="0" fontId="2" fillId="0" borderId="17" xfId="0" applyNumberFormat="1" applyFont="1" applyFill="1" applyBorder="1" applyAlignment="1" applyProtection="1">
      <protection locked="0"/>
    </xf>
    <xf numFmtId="0" fontId="38" fillId="0" borderId="17" xfId="0" applyFont="1" applyBorder="1"/>
    <xf numFmtId="173" fontId="41" fillId="25" borderId="17" xfId="0" applyNumberFormat="1" applyFont="1" applyFill="1" applyBorder="1" applyAlignment="1">
      <alignment horizontal="right"/>
    </xf>
    <xf numFmtId="9" fontId="0" fillId="0" borderId="17" xfId="0" applyNumberFormat="1" applyBorder="1"/>
    <xf numFmtId="173" fontId="2" fillId="0" borderId="17" xfId="0" applyNumberFormat="1" applyFont="1" applyBorder="1" applyAlignment="1">
      <alignment horizontal="right"/>
    </xf>
    <xf numFmtId="9" fontId="41" fillId="0" borderId="17" xfId="0" applyNumberFormat="1" applyFont="1" applyBorder="1" applyAlignment="1">
      <alignment horizontal="right"/>
    </xf>
    <xf numFmtId="1" fontId="3" fillId="25" borderId="17" xfId="0" applyNumberFormat="1" applyFont="1" applyFill="1" applyBorder="1" applyAlignment="1">
      <alignment horizontal="right"/>
    </xf>
    <xf numFmtId="172" fontId="2" fillId="25" borderId="17" xfId="40" applyNumberFormat="1" applyFont="1" applyFill="1" applyBorder="1" applyAlignment="1">
      <alignment horizontal="right"/>
    </xf>
    <xf numFmtId="1" fontId="2" fillId="25" borderId="17" xfId="0" applyNumberFormat="1" applyFont="1" applyFill="1" applyBorder="1" applyAlignment="1">
      <alignment horizontal="right"/>
    </xf>
    <xf numFmtId="3" fontId="2" fillId="25" borderId="17" xfId="0" applyNumberFormat="1" applyFont="1" applyFill="1" applyBorder="1"/>
    <xf numFmtId="171" fontId="41" fillId="25" borderId="17" xfId="0" applyNumberFormat="1" applyFont="1" applyFill="1" applyBorder="1" applyAlignment="1">
      <alignment horizontal="right"/>
    </xf>
    <xf numFmtId="9" fontId="2" fillId="0" borderId="17" xfId="0" applyNumberFormat="1" applyFont="1" applyBorder="1" applyAlignment="1">
      <alignment horizontal="right"/>
    </xf>
    <xf numFmtId="172" fontId="41" fillId="25" borderId="17" xfId="40" applyNumberFormat="1" applyFont="1" applyFill="1" applyBorder="1" applyAlignment="1">
      <alignment horizontal="right"/>
    </xf>
    <xf numFmtId="6" fontId="2" fillId="0" borderId="16" xfId="0" applyNumberFormat="1" applyFont="1" applyFill="1" applyBorder="1" applyAlignment="1" applyProtection="1">
      <alignment horizontal="right"/>
      <protection locked="0"/>
    </xf>
    <xf numFmtId="172" fontId="38" fillId="0" borderId="17" xfId="40" applyNumberFormat="1" applyFont="1" applyBorder="1"/>
    <xf numFmtId="0" fontId="2" fillId="25" borderId="17" xfId="0" applyFont="1" applyFill="1" applyBorder="1"/>
    <xf numFmtId="172" fontId="41" fillId="25" borderId="17" xfId="40" applyNumberFormat="1" applyFont="1" applyFill="1" applyBorder="1"/>
    <xf numFmtId="0" fontId="7" fillId="24" borderId="14" xfId="0" applyNumberFormat="1" applyFont="1" applyFill="1" applyBorder="1" applyAlignment="1">
      <alignment horizontal="right"/>
    </xf>
    <xf numFmtId="6" fontId="41" fillId="0" borderId="17" xfId="0" applyNumberFormat="1" applyFont="1" applyFill="1" applyBorder="1" applyAlignment="1" applyProtection="1">
      <alignment horizontal="right"/>
    </xf>
    <xf numFmtId="6" fontId="3" fillId="0" borderId="17" xfId="0" applyNumberFormat="1" applyFont="1" applyFill="1" applyBorder="1" applyAlignment="1" applyProtection="1">
      <alignment horizontal="right"/>
    </xf>
    <xf numFmtId="0" fontId="41" fillId="0" borderId="17" xfId="0" applyFont="1" applyFill="1" applyBorder="1" applyAlignment="1" applyProtection="1">
      <alignment horizontal="right"/>
    </xf>
    <xf numFmtId="168" fontId="2" fillId="0" borderId="17" xfId="0" applyNumberFormat="1" applyFont="1" applyFill="1" applyBorder="1" applyAlignment="1" applyProtection="1">
      <alignment horizontal="right"/>
    </xf>
    <xf numFmtId="6" fontId="41" fillId="0" borderId="17" xfId="0" applyNumberFormat="1" applyFont="1" applyBorder="1" applyAlignment="1">
      <alignment horizontal="right"/>
    </xf>
    <xf numFmtId="6" fontId="3" fillId="0" borderId="17" xfId="0" applyNumberFormat="1" applyFont="1" applyFill="1" applyBorder="1" applyAlignment="1" applyProtection="1">
      <alignment horizontal="right"/>
      <protection locked="0"/>
    </xf>
    <xf numFmtId="172" fontId="38" fillId="0" borderId="17" xfId="40" applyNumberFormat="1" applyFont="1" applyFill="1" applyBorder="1" applyAlignment="1" applyProtection="1">
      <alignment horizontal="right"/>
    </xf>
    <xf numFmtId="6" fontId="41" fillId="0" borderId="17" xfId="0" applyNumberFormat="1" applyFont="1" applyFill="1" applyBorder="1" applyAlignment="1" applyProtection="1">
      <alignment horizontal="right"/>
      <protection locked="0"/>
    </xf>
    <xf numFmtId="176" fontId="41" fillId="0" borderId="17" xfId="0" applyNumberFormat="1" applyFont="1" applyFill="1" applyBorder="1" applyAlignment="1" applyProtection="1">
      <alignment horizontal="right"/>
      <protection locked="0"/>
    </xf>
    <xf numFmtId="6" fontId="2" fillId="0" borderId="26" xfId="0" applyNumberFormat="1" applyFont="1" applyFill="1" applyBorder="1" applyAlignment="1" applyProtection="1">
      <alignment horizontal="right"/>
      <protection locked="0"/>
    </xf>
    <xf numFmtId="6" fontId="3" fillId="0" borderId="26" xfId="0" applyNumberFormat="1" applyFont="1" applyFill="1" applyBorder="1" applyAlignment="1" applyProtection="1">
      <alignment horizontal="right"/>
      <protection locked="0"/>
    </xf>
    <xf numFmtId="3" fontId="2" fillId="0" borderId="17" xfId="0" applyNumberFormat="1" applyFont="1" applyFill="1" applyBorder="1" applyAlignment="1" applyProtection="1">
      <alignment horizontal="right"/>
    </xf>
    <xf numFmtId="0" fontId="17" fillId="0" borderId="17" xfId="0" applyFont="1" applyBorder="1" applyProtection="1">
      <protection locked="0"/>
    </xf>
    <xf numFmtId="6" fontId="3" fillId="0" borderId="26" xfId="0" applyNumberFormat="1" applyFont="1" applyFill="1" applyBorder="1" applyAlignment="1" applyProtection="1">
      <alignment horizontal="right"/>
    </xf>
    <xf numFmtId="6" fontId="2" fillId="0" borderId="17" xfId="0" applyNumberFormat="1" applyFont="1" applyBorder="1"/>
    <xf numFmtId="9" fontId="38" fillId="0" borderId="17" xfId="40" applyFont="1" applyBorder="1"/>
    <xf numFmtId="9" fontId="41" fillId="0" borderId="17" xfId="0" applyNumberFormat="1" applyFont="1" applyFill="1" applyBorder="1"/>
    <xf numFmtId="172" fontId="2" fillId="0" borderId="17" xfId="0" applyNumberFormat="1" applyFont="1" applyFill="1" applyBorder="1"/>
    <xf numFmtId="3" fontId="2" fillId="0" borderId="17" xfId="0" applyNumberFormat="1" applyFont="1" applyFill="1" applyBorder="1"/>
    <xf numFmtId="0" fontId="41" fillId="0" borderId="17" xfId="0" applyFont="1" applyBorder="1"/>
    <xf numFmtId="6" fontId="3" fillId="0" borderId="26" xfId="0" applyNumberFormat="1" applyFont="1" applyBorder="1"/>
    <xf numFmtId="0" fontId="2" fillId="0" borderId="17" xfId="0" applyNumberFormat="1" applyFont="1" applyFill="1" applyBorder="1" applyAlignment="1" applyProtection="1"/>
    <xf numFmtId="6" fontId="3" fillId="0" borderId="17" xfId="0" applyNumberFormat="1" applyFont="1" applyBorder="1"/>
    <xf numFmtId="6" fontId="42" fillId="0" borderId="17" xfId="0" applyNumberFormat="1" applyFont="1" applyFill="1" applyBorder="1" applyAlignment="1" applyProtection="1">
      <alignment horizontal="right"/>
      <protection locked="0"/>
    </xf>
    <xf numFmtId="176" fontId="2" fillId="0" borderId="17" xfId="0" applyNumberFormat="1" applyFont="1" applyFill="1" applyBorder="1" applyAlignment="1" applyProtection="1">
      <alignment horizontal="right"/>
      <protection locked="0"/>
    </xf>
    <xf numFmtId="6" fontId="3" fillId="0" borderId="17" xfId="0" applyNumberFormat="1" applyFont="1" applyFill="1" applyBorder="1"/>
    <xf numFmtId="6" fontId="3" fillId="25" borderId="17" xfId="0" applyNumberFormat="1" applyFont="1" applyFill="1" applyBorder="1" applyAlignment="1" applyProtection="1">
      <alignment horizontal="right"/>
      <protection locked="0"/>
    </xf>
    <xf numFmtId="6" fontId="3" fillId="0" borderId="26" xfId="0" applyNumberFormat="1" applyFont="1" applyFill="1" applyBorder="1"/>
    <xf numFmtId="172" fontId="41" fillId="0" borderId="17" xfId="0" applyNumberFormat="1" applyFont="1" applyFill="1" applyBorder="1"/>
    <xf numFmtId="6" fontId="41" fillId="0" borderId="17" xfId="0" applyNumberFormat="1" applyFont="1" applyBorder="1"/>
    <xf numFmtId="6" fontId="41" fillId="0" borderId="17" xfId="0" applyNumberFormat="1" applyFont="1" applyFill="1" applyBorder="1" applyAlignment="1">
      <alignment horizontal="right"/>
    </xf>
    <xf numFmtId="6" fontId="41" fillId="0" borderId="17" xfId="0" applyNumberFormat="1" applyFont="1" applyFill="1" applyBorder="1"/>
    <xf numFmtId="10" fontId="2" fillId="0" borderId="17" xfId="0" applyNumberFormat="1" applyFont="1" applyBorder="1"/>
    <xf numFmtId="0" fontId="3" fillId="0" borderId="17" xfId="0" applyFont="1" applyFill="1" applyBorder="1" applyAlignment="1" applyProtection="1">
      <alignment horizontal="right"/>
    </xf>
    <xf numFmtId="176" fontId="2" fillId="0" borderId="17" xfId="0" applyNumberFormat="1" applyFont="1" applyFill="1" applyBorder="1" applyAlignment="1" applyProtection="1">
      <alignment horizontal="right"/>
    </xf>
    <xf numFmtId="6" fontId="3" fillId="25" borderId="17" xfId="0" applyNumberFormat="1" applyFont="1" applyFill="1" applyBorder="1" applyAlignment="1">
      <alignment horizontal="right"/>
    </xf>
    <xf numFmtId="168" fontId="2" fillId="0" borderId="17" xfId="0" applyNumberFormat="1" applyFont="1" applyBorder="1" applyAlignment="1" applyProtection="1">
      <alignment horizontal="right"/>
      <protection locked="0"/>
    </xf>
    <xf numFmtId="0" fontId="17" fillId="0" borderId="17" xfId="40" applyNumberFormat="1" applyFont="1" applyFill="1" applyBorder="1" applyAlignment="1" applyProtection="1">
      <alignment horizontal="right"/>
      <protection locked="0"/>
    </xf>
    <xf numFmtId="174" fontId="38" fillId="0" borderId="17" xfId="0" applyNumberFormat="1" applyFont="1" applyBorder="1" applyAlignment="1">
      <alignment horizontal="right"/>
    </xf>
    <xf numFmtId="17" fontId="2" fillId="20" borderId="14" xfId="0" applyNumberFormat="1" applyFont="1" applyFill="1" applyBorder="1" applyAlignment="1">
      <alignment horizontal="right"/>
    </xf>
    <xf numFmtId="172" fontId="38" fillId="0" borderId="17" xfId="0" applyNumberFormat="1" applyFont="1" applyBorder="1" applyAlignment="1">
      <alignment horizontal="right"/>
    </xf>
    <xf numFmtId="174" fontId="38" fillId="0" borderId="31" xfId="0" applyNumberFormat="1" applyFont="1" applyFill="1" applyBorder="1" applyAlignment="1">
      <alignment horizontal="right"/>
    </xf>
    <xf numFmtId="172" fontId="38" fillId="0" borderId="17" xfId="40" applyNumberFormat="1" applyFont="1" applyBorder="1" applyAlignment="1">
      <alignment horizontal="right"/>
    </xf>
    <xf numFmtId="0" fontId="7" fillId="24" borderId="14" xfId="0" applyFont="1" applyFill="1" applyBorder="1" applyAlignment="1">
      <alignment horizontal="right"/>
    </xf>
    <xf numFmtId="0" fontId="38" fillId="0" borderId="17" xfId="0" applyFont="1" applyBorder="1" applyAlignment="1">
      <alignment horizontal="right"/>
    </xf>
    <xf numFmtId="9" fontId="16" fillId="0" borderId="17" xfId="0" applyNumberFormat="1" applyFont="1" applyFill="1" applyBorder="1" applyAlignment="1" applyProtection="1">
      <alignment horizontal="right"/>
    </xf>
    <xf numFmtId="6" fontId="3" fillId="0" borderId="11" xfId="0" applyNumberFormat="1" applyFont="1" applyBorder="1" applyAlignment="1" applyProtection="1">
      <alignment horizontal="right"/>
    </xf>
    <xf numFmtId="0" fontId="38" fillId="0" borderId="25" xfId="0" applyNumberFormat="1" applyFont="1" applyFill="1" applyBorder="1" applyAlignment="1" applyProtection="1">
      <protection locked="0"/>
    </xf>
    <xf numFmtId="0" fontId="38" fillId="0" borderId="25" xfId="0" applyFont="1" applyFill="1" applyBorder="1" applyAlignment="1" applyProtection="1">
      <alignment horizontal="right"/>
    </xf>
    <xf numFmtId="6" fontId="45" fillId="0" borderId="25" xfId="0" applyNumberFormat="1" applyFont="1" applyFill="1" applyBorder="1" applyAlignment="1" applyProtection="1">
      <alignment horizontal="right"/>
      <protection locked="0"/>
    </xf>
    <xf numFmtId="6" fontId="38" fillId="0" borderId="26" xfId="0" applyNumberFormat="1" applyFont="1" applyFill="1" applyBorder="1" applyAlignment="1" applyProtection="1">
      <alignment horizontal="right"/>
      <protection locked="0"/>
    </xf>
    <xf numFmtId="6" fontId="45" fillId="0" borderId="26" xfId="0" applyNumberFormat="1" applyFont="1" applyFill="1" applyBorder="1" applyAlignment="1" applyProtection="1">
      <alignment horizontal="right"/>
      <protection locked="0"/>
    </xf>
    <xf numFmtId="6" fontId="2" fillId="0" borderId="43" xfId="0" applyNumberFormat="1" applyFont="1" applyFill="1" applyBorder="1" applyAlignment="1" applyProtection="1">
      <alignment horizontal="right"/>
      <protection locked="0"/>
    </xf>
    <xf numFmtId="6" fontId="17" fillId="0" borderId="43" xfId="0" applyNumberFormat="1" applyFont="1" applyFill="1" applyBorder="1" applyAlignment="1" applyProtection="1">
      <alignment horizontal="right"/>
      <protection locked="0"/>
    </xf>
    <xf numFmtId="0" fontId="17" fillId="0" borderId="15" xfId="0" applyNumberFormat="1" applyFont="1" applyFill="1" applyBorder="1" applyAlignment="1" applyProtection="1">
      <alignment horizontal="left"/>
      <protection locked="0"/>
    </xf>
    <xf numFmtId="6" fontId="0" fillId="0" borderId="11" xfId="0" applyNumberFormat="1" applyBorder="1"/>
    <xf numFmtId="6" fontId="0" fillId="0" borderId="31" xfId="0" applyNumberFormat="1" applyBorder="1"/>
    <xf numFmtId="0" fontId="2" fillId="0" borderId="17" xfId="0" applyNumberFormat="1" applyFont="1" applyFill="1" applyBorder="1" applyAlignment="1">
      <alignment horizontal="right"/>
    </xf>
    <xf numFmtId="6" fontId="42" fillId="0" borderId="0" xfId="0" applyNumberFormat="1" applyFont="1" applyBorder="1" applyAlignment="1">
      <alignment horizontal="right"/>
    </xf>
    <xf numFmtId="0" fontId="0" fillId="0" borderId="33" xfId="0" applyBorder="1"/>
    <xf numFmtId="172" fontId="41" fillId="0" borderId="0" xfId="40" applyNumberFormat="1" applyFont="1" applyFill="1" applyBorder="1"/>
    <xf numFmtId="173" fontId="41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171" fontId="41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8" fillId="0" borderId="0" xfId="0" applyFont="1" applyFill="1"/>
    <xf numFmtId="0" fontId="11" fillId="24" borderId="0" xfId="0" applyFont="1" applyFill="1" applyBorder="1" applyAlignment="1">
      <alignment horizontal="right"/>
    </xf>
    <xf numFmtId="1" fontId="7" fillId="24" borderId="43" xfId="0" applyNumberFormat="1" applyFont="1" applyFill="1" applyBorder="1" applyAlignment="1">
      <alignment horizontal="right"/>
    </xf>
    <xf numFmtId="0" fontId="2" fillId="25" borderId="43" xfId="0" applyFont="1" applyFill="1" applyBorder="1"/>
    <xf numFmtId="3" fontId="2" fillId="25" borderId="43" xfId="0" applyNumberFormat="1" applyFont="1" applyFill="1" applyBorder="1" applyAlignment="1">
      <alignment horizontal="right"/>
    </xf>
    <xf numFmtId="172" fontId="41" fillId="25" borderId="43" xfId="40" applyNumberFormat="1" applyFont="1" applyFill="1" applyBorder="1"/>
    <xf numFmtId="171" fontId="41" fillId="25" borderId="43" xfId="0" applyNumberFormat="1" applyFont="1" applyFill="1" applyBorder="1" applyAlignment="1">
      <alignment horizontal="right"/>
    </xf>
    <xf numFmtId="0" fontId="2" fillId="0" borderId="43" xfId="0" applyFont="1" applyBorder="1"/>
    <xf numFmtId="3" fontId="41" fillId="25" borderId="43" xfId="0" applyNumberFormat="1" applyFont="1" applyFill="1" applyBorder="1" applyAlignment="1">
      <alignment horizontal="right"/>
    </xf>
    <xf numFmtId="3" fontId="3" fillId="25" borderId="43" xfId="0" applyNumberFormat="1" applyFont="1" applyFill="1" applyBorder="1" applyAlignment="1">
      <alignment horizontal="right"/>
    </xf>
    <xf numFmtId="173" fontId="2" fillId="25" borderId="43" xfId="0" applyNumberFormat="1" applyFont="1" applyFill="1" applyBorder="1" applyAlignment="1">
      <alignment horizontal="right"/>
    </xf>
    <xf numFmtId="173" fontId="3" fillId="25" borderId="48" xfId="0" applyNumberFormat="1" applyFont="1" applyFill="1" applyBorder="1" applyAlignment="1">
      <alignment horizontal="right"/>
    </xf>
    <xf numFmtId="172" fontId="41" fillId="25" borderId="43" xfId="40" applyNumberFormat="1" applyFont="1" applyFill="1" applyBorder="1" applyAlignment="1">
      <alignment horizontal="right"/>
    </xf>
    <xf numFmtId="171" fontId="2" fillId="25" borderId="43" xfId="0" applyNumberFormat="1" applyFont="1" applyFill="1" applyBorder="1" applyAlignment="1">
      <alignment horizontal="right"/>
    </xf>
    <xf numFmtId="0" fontId="2" fillId="20" borderId="44" xfId="0" applyNumberFormat="1" applyFont="1" applyFill="1" applyBorder="1" applyAlignment="1">
      <alignment horizontal="right"/>
    </xf>
    <xf numFmtId="6" fontId="2" fillId="0" borderId="45" xfId="0" applyNumberFormat="1" applyFont="1" applyFill="1" applyBorder="1" applyAlignment="1" applyProtection="1">
      <alignment horizontal="right"/>
      <protection locked="0"/>
    </xf>
    <xf numFmtId="6" fontId="2" fillId="0" borderId="45" xfId="0" applyNumberFormat="1" applyFont="1" applyFill="1" applyBorder="1" applyAlignment="1">
      <alignment horizontal="right"/>
    </xf>
    <xf numFmtId="0" fontId="0" fillId="0" borderId="43" xfId="0" applyBorder="1"/>
    <xf numFmtId="6" fontId="17" fillId="0" borderId="45" xfId="0" applyNumberFormat="1" applyFont="1" applyFill="1" applyBorder="1" applyAlignment="1" applyProtection="1">
      <alignment horizontal="right"/>
      <protection locked="0"/>
    </xf>
    <xf numFmtId="0" fontId="38" fillId="0" borderId="43" xfId="0" applyFont="1" applyBorder="1"/>
    <xf numFmtId="173" fontId="41" fillId="25" borderId="43" xfId="0" applyNumberFormat="1" applyFont="1" applyFill="1" applyBorder="1" applyAlignment="1">
      <alignment horizontal="right"/>
    </xf>
    <xf numFmtId="9" fontId="41" fillId="0" borderId="43" xfId="0" applyNumberFormat="1" applyFont="1" applyBorder="1" applyAlignment="1">
      <alignment horizontal="right"/>
    </xf>
    <xf numFmtId="173" fontId="2" fillId="0" borderId="43" xfId="0" applyNumberFormat="1" applyFont="1" applyBorder="1" applyAlignment="1">
      <alignment horizontal="right"/>
    </xf>
    <xf numFmtId="6" fontId="0" fillId="0" borderId="0" xfId="0" applyNumberFormat="1" applyBorder="1"/>
    <xf numFmtId="0" fontId="2" fillId="0" borderId="31" xfId="0" applyFont="1" applyBorder="1"/>
    <xf numFmtId="7" fontId="11" fillId="24" borderId="42" xfId="0" applyNumberFormat="1" applyFont="1" applyFill="1" applyBorder="1" applyAlignment="1">
      <alignment horizontal="right"/>
    </xf>
    <xf numFmtId="0" fontId="7" fillId="24" borderId="44" xfId="0" applyNumberFormat="1" applyFont="1" applyFill="1" applyBorder="1" applyAlignment="1">
      <alignment horizontal="right"/>
    </xf>
    <xf numFmtId="6" fontId="3" fillId="20" borderId="44" xfId="0" applyNumberFormat="1" applyFont="1" applyFill="1" applyBorder="1" applyAlignment="1">
      <alignment horizontal="right"/>
    </xf>
    <xf numFmtId="174" fontId="38" fillId="0" borderId="43" xfId="0" applyNumberFormat="1" applyFont="1" applyBorder="1" applyAlignment="1">
      <alignment horizontal="right"/>
    </xf>
    <xf numFmtId="6" fontId="16" fillId="0" borderId="43" xfId="0" applyNumberFormat="1" applyFont="1" applyFill="1" applyBorder="1" applyAlignment="1" applyProtection="1">
      <alignment horizontal="right"/>
    </xf>
    <xf numFmtId="5" fontId="2" fillId="0" borderId="43" xfId="0" applyNumberFormat="1" applyFont="1" applyBorder="1" applyAlignment="1">
      <alignment horizontal="right"/>
    </xf>
    <xf numFmtId="10" fontId="2" fillId="0" borderId="43" xfId="0" applyNumberFormat="1" applyFont="1" applyBorder="1" applyAlignment="1">
      <alignment horizontal="right"/>
    </xf>
    <xf numFmtId="17" fontId="2" fillId="20" borderId="44" xfId="0" applyNumberFormat="1" applyFont="1" applyFill="1" applyBorder="1" applyAlignment="1">
      <alignment horizontal="right"/>
    </xf>
    <xf numFmtId="168" fontId="38" fillId="0" borderId="43" xfId="0" applyNumberFormat="1" applyFont="1" applyBorder="1" applyAlignment="1">
      <alignment horizontal="right"/>
    </xf>
    <xf numFmtId="6" fontId="3" fillId="0" borderId="43" xfId="0" applyNumberFormat="1" applyFont="1" applyBorder="1" applyAlignment="1">
      <alignment horizontal="right"/>
    </xf>
    <xf numFmtId="172" fontId="38" fillId="0" borderId="43" xfId="0" applyNumberFormat="1" applyFont="1" applyBorder="1" applyAlignment="1">
      <alignment horizontal="right"/>
    </xf>
    <xf numFmtId="6" fontId="38" fillId="0" borderId="43" xfId="0" applyNumberFormat="1" applyFont="1" applyBorder="1" applyAlignment="1">
      <alignment horizontal="right"/>
    </xf>
    <xf numFmtId="6" fontId="3" fillId="20" borderId="45" xfId="0" applyNumberFormat="1" applyFont="1" applyFill="1" applyBorder="1" applyAlignment="1">
      <alignment horizontal="right"/>
    </xf>
    <xf numFmtId="174" fontId="38" fillId="0" borderId="46" xfId="0" applyNumberFormat="1" applyFont="1" applyFill="1" applyBorder="1" applyAlignment="1">
      <alignment horizontal="right"/>
    </xf>
    <xf numFmtId="0" fontId="11" fillId="24" borderId="42" xfId="0" applyFont="1" applyFill="1" applyBorder="1"/>
    <xf numFmtId="6" fontId="3" fillId="0" borderId="42" xfId="0" applyNumberFormat="1" applyFont="1" applyBorder="1" applyAlignment="1" applyProtection="1">
      <alignment horizontal="right"/>
    </xf>
    <xf numFmtId="6" fontId="41" fillId="0" borderId="43" xfId="0" applyNumberFormat="1" applyFont="1" applyBorder="1" applyAlignment="1" applyProtection="1">
      <alignment horizontal="right"/>
    </xf>
    <xf numFmtId="6" fontId="3" fillId="0" borderId="43" xfId="0" applyNumberFormat="1" applyFont="1" applyBorder="1" applyAlignment="1" applyProtection="1">
      <alignment horizontal="right"/>
    </xf>
    <xf numFmtId="6" fontId="3" fillId="0" borderId="14" xfId="0" applyNumberFormat="1" applyFont="1" applyBorder="1"/>
    <xf numFmtId="176" fontId="2" fillId="0" borderId="31" xfId="0" applyNumberFormat="1" applyFont="1" applyFill="1" applyBorder="1" applyAlignment="1" applyProtection="1">
      <alignment horizontal="right"/>
      <protection locked="0"/>
    </xf>
    <xf numFmtId="6" fontId="41" fillId="26" borderId="0" xfId="0" applyNumberFormat="1" applyFont="1" applyFill="1" applyBorder="1" applyAlignment="1" applyProtection="1">
      <alignment horizontal="right"/>
    </xf>
    <xf numFmtId="6" fontId="40" fillId="0" borderId="17" xfId="0" applyNumberFormat="1" applyFont="1" applyFill="1" applyBorder="1" applyAlignment="1" applyProtection="1">
      <alignment horizontal="right"/>
      <protection locked="0"/>
    </xf>
    <xf numFmtId="6" fontId="2" fillId="0" borderId="46" xfId="0" applyNumberFormat="1" applyFont="1" applyFill="1" applyBorder="1" applyAlignment="1" applyProtection="1">
      <alignment horizontal="right"/>
    </xf>
    <xf numFmtId="0" fontId="0" fillId="25" borderId="0" xfId="0" applyFill="1"/>
    <xf numFmtId="6" fontId="0" fillId="25" borderId="0" xfId="0" applyNumberFormat="1" applyFill="1"/>
    <xf numFmtId="8" fontId="0" fillId="25" borderId="0" xfId="0" applyNumberFormat="1" applyFill="1"/>
    <xf numFmtId="0" fontId="49" fillId="27" borderId="0" xfId="0" applyFont="1" applyFill="1"/>
    <xf numFmtId="0" fontId="2" fillId="0" borderId="0" xfId="0" applyFont="1" applyBorder="1" applyAlignment="1">
      <alignment vertical="top" wrapText="1"/>
    </xf>
  </cellXfs>
  <cellStyles count="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and EBITDA Projection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13758867943115688"/>
          <c:y val="0.13886986795298145"/>
          <c:w val="0.82077600219543612"/>
          <c:h val="0.639837488588521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'Graph Rev EBITDA'!$B$44</c:f>
              <c:strCache>
                <c:ptCount val="1"/>
                <c:pt idx="0">
                  <c:v>Revenue (millions)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310231623458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txPr>
              <a:bodyPr/>
              <a:lstStyle/>
              <a:p>
                <a:pPr algn="ctr"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Rev EBITDA'!$C$43:$H$43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'Graph Rev EBITDA'!$C$44:$H$44</c:f>
              <c:numCache>
                <c:formatCode>"$"#,##0.00_);[Red]\("$"#,##0.00\)</c:formatCode>
                <c:ptCount val="6"/>
                <c:pt idx="0">
                  <c:v>10.6040625</c:v>
                </c:pt>
                <c:pt idx="1">
                  <c:v>32.333381249999995</c:v>
                </c:pt>
                <c:pt idx="2">
                  <c:v>61.733910434999991</c:v>
                </c:pt>
                <c:pt idx="3">
                  <c:v>104.58076118707497</c:v>
                </c:pt>
                <c:pt idx="4">
                  <c:v>160.72542005386654</c:v>
                </c:pt>
                <c:pt idx="5">
                  <c:v>210.65814465336479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'Graph Rev EBITDA'!$B$45</c:f>
              <c:strCache>
                <c:ptCount val="1"/>
                <c:pt idx="0">
                  <c:v>EBITDA (millions)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3619302949061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6604110813226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7238605898123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809651474530835E-2"/>
                  <c:y val="-9.900992671966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511170688114392E-2"/>
                  <c:y val="-6.6006617813107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6604110813226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Rev EBITDA'!$C$43:$H$43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'Graph Rev EBITDA'!$C$45:$H$45</c:f>
              <c:numCache>
                <c:formatCode>"$"#,##0.00_);[Red]\("$"#,##0.00\)</c:formatCode>
                <c:ptCount val="6"/>
                <c:pt idx="0">
                  <c:v>5.7272544999999999</c:v>
                </c:pt>
                <c:pt idx="1">
                  <c:v>19.331181687499996</c:v>
                </c:pt>
                <c:pt idx="2">
                  <c:v>38.882143297249996</c:v>
                </c:pt>
                <c:pt idx="3">
                  <c:v>67.536417457001207</c:v>
                </c:pt>
                <c:pt idx="4">
                  <c:v>105.34011989618382</c:v>
                </c:pt>
                <c:pt idx="5">
                  <c:v>138.85078951651801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087680"/>
        <c:axId val="98089216"/>
        <c:axId val="0"/>
      </c:bar3DChart>
      <c:catAx>
        <c:axId val="980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8089216"/>
        <c:crosses val="autoZero"/>
        <c:auto val="1"/>
        <c:lblAlgn val="ctr"/>
        <c:lblOffset val="100"/>
        <c:noMultiLvlLbl val="0"/>
      </c:catAx>
      <c:valAx>
        <c:axId val="98089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in  millions</a:t>
                </a:r>
              </a:p>
            </c:rich>
          </c:tx>
          <c:layout>
            <c:manualLayout>
              <c:xMode val="edge"/>
              <c:yMode val="edge"/>
              <c:x val="2.0188863791489868E-2"/>
              <c:y val="0.38767375787369301"/>
            </c:manualLayout>
          </c:layout>
          <c:overlay val="0"/>
        </c:title>
        <c:numFmt formatCode="&quot;$&quot;#,##0.0_);[Red]\(&quot;$&quot;#,##0.0\)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808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9399351220507"/>
          <c:y val="0.89407471065583299"/>
          <c:w val="0.54208214589798231"/>
          <c:h val="8.6355886374025206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5</xdr:row>
      <xdr:rowOff>104775</xdr:rowOff>
    </xdr:from>
    <xdr:to>
      <xdr:col>8</xdr:col>
      <xdr:colOff>523875</xdr:colOff>
      <xdr:row>29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78"/>
  <sheetViews>
    <sheetView showGridLines="0" workbookViewId="0">
      <pane xSplit="1" ySplit="2" topLeftCell="Z3" activePane="bottomRight" state="frozenSplit"/>
      <selection pane="topRight"/>
      <selection pane="bottomLeft"/>
      <selection pane="bottomRight" activeCell="AA18" sqref="AA18"/>
    </sheetView>
  </sheetViews>
  <sheetFormatPr defaultColWidth="9.125" defaultRowHeight="12.4" customHeight="1" x14ac:dyDescent="0.2"/>
  <cols>
    <col min="1" max="1" width="35.75" style="1" customWidth="1"/>
    <col min="2" max="33" width="13.625" style="1" customWidth="1"/>
    <col min="34" max="34" width="9.125" style="1" customWidth="1"/>
    <col min="35" max="35" width="14.25" style="1" customWidth="1"/>
    <col min="36" max="37" width="9.125" style="1" customWidth="1"/>
    <col min="38" max="38" width="18.5" style="1" customWidth="1"/>
    <col min="39" max="39" width="19.25" style="1" customWidth="1"/>
    <col min="40" max="43" width="21.25" style="1" customWidth="1"/>
    <col min="44" max="44" width="23.25" style="1" customWidth="1"/>
    <col min="45" max="52" width="21.25" style="1" customWidth="1"/>
    <col min="53" max="71" width="10.25" style="1" customWidth="1"/>
    <col min="72" max="90" width="9.125" style="1" customWidth="1"/>
    <col min="91" max="91" width="10.375" style="1" customWidth="1"/>
    <col min="92" max="92" width="9.125" style="1" customWidth="1"/>
    <col min="93" max="110" width="13.625" style="1" customWidth="1"/>
    <col min="111" max="111" width="45.625" style="1" customWidth="1"/>
    <col min="112" max="129" width="13.625" style="1" customWidth="1"/>
    <col min="130" max="130" width="40" style="1" customWidth="1"/>
    <col min="131" max="16384" width="9.125" style="1"/>
  </cols>
  <sheetData>
    <row r="1" spans="1:173" s="75" customFormat="1" ht="16.149999999999999" customHeight="1" x14ac:dyDescent="0.2">
      <c r="A1" s="76" t="e">
        <f>IF(PS_Nonprofit=TRUE,"Funding Forecast","Sales Forecast")</f>
        <v>#REF!</v>
      </c>
      <c r="B1" s="77"/>
      <c r="C1" s="78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9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79"/>
      <c r="AD1" s="77"/>
      <c r="AE1" s="77"/>
      <c r="AF1" s="77"/>
      <c r="AG1" s="77"/>
      <c r="AH1"/>
      <c r="AI1"/>
      <c r="AJ1"/>
      <c r="AL1"/>
      <c r="AM1"/>
      <c r="AN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O1" s="77"/>
      <c r="CP1" s="78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9"/>
      <c r="DC1" s="77"/>
      <c r="DD1" s="77"/>
      <c r="DE1" s="77"/>
      <c r="DF1" s="77"/>
      <c r="DG1"/>
      <c r="DH1" s="77"/>
      <c r="DI1" s="78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9"/>
      <c r="DV1" s="77"/>
      <c r="DW1" s="77"/>
      <c r="DX1" s="77"/>
      <c r="DY1" s="77"/>
      <c r="DZ1"/>
    </row>
    <row r="2" spans="1:173" ht="13.15" customHeight="1" thickBot="1" x14ac:dyDescent="0.25">
      <c r="A2" s="82"/>
      <c r="B2" s="12"/>
      <c r="C2" s="10" t="e">
        <f>IF(PS_DateSetting=1," Month 1",DATE(PS_StartingYear,PS_StartingMonth,15))</f>
        <v>#REF!</v>
      </c>
      <c r="D2" s="10" t="e">
        <f>IF(PS_DateSetting=1," Month 2",C2+30.4)</f>
        <v>#REF!</v>
      </c>
      <c r="E2" s="10" t="e">
        <f>IF(PS_DateSetting=1," Month 3",D2+30.4)</f>
        <v>#REF!</v>
      </c>
      <c r="F2" s="10" t="e">
        <f>IF(PS_DateSetting=1," Month 4",E2+30.4)</f>
        <v>#REF!</v>
      </c>
      <c r="G2" s="10" t="e">
        <f>IF(PS_DateSetting=1," Month 5",F2+30.4)</f>
        <v>#REF!</v>
      </c>
      <c r="H2" s="10" t="e">
        <f>IF(PS_DateSetting=1," Month 6",G2+30.4)</f>
        <v>#REF!</v>
      </c>
      <c r="I2" s="10" t="e">
        <f>IF(PS_DateSetting=1," Month 7",H2+30.4)</f>
        <v>#REF!</v>
      </c>
      <c r="J2" s="10" t="e">
        <f>IF(PS_DateSetting=1," Month 8",I2+30.4)</f>
        <v>#REF!</v>
      </c>
      <c r="K2" s="10" t="e">
        <f>IF(PS_DateSetting=1," Month 9",J2+30.4)</f>
        <v>#REF!</v>
      </c>
      <c r="L2" s="10" t="e">
        <f>IF(PS_DateSetting=1," Month 10",K2+30.4)</f>
        <v>#REF!</v>
      </c>
      <c r="M2" s="10" t="e">
        <f>IF(PS_DateSetting=1," Month 11",L2+30.4)</f>
        <v>#REF!</v>
      </c>
      <c r="N2" s="10" t="e">
        <f>IF(PS_DateSetting=1," Month 12",M2+30.4)</f>
        <v>#REF!</v>
      </c>
      <c r="O2" s="11" t="e">
        <f>IF(PS_DateSetting=1," Year 1",IF(PS_StartingMonth&gt;1,"FY "&amp;PS_StartingYear+1,PS_StartingYear))</f>
        <v>#REF!</v>
      </c>
      <c r="P2" s="12"/>
      <c r="Q2" s="10" t="e">
        <f>IF(PS_DateSetting=1," Month 13",DATE(PS_StartingYear,PS_StartingMonth,15))</f>
        <v>#REF!</v>
      </c>
      <c r="R2" s="10" t="e">
        <f>IF(PS_DateSetting=1," Month 14",Q2+30.4)</f>
        <v>#REF!</v>
      </c>
      <c r="S2" s="10" t="e">
        <f>IF(PS_DateSetting=1," Month 15",R2+30.4)</f>
        <v>#REF!</v>
      </c>
      <c r="T2" s="10" t="e">
        <f>IF(PS_DateSetting=1," Month 16",S2+30.4)</f>
        <v>#REF!</v>
      </c>
      <c r="U2" s="10" t="e">
        <f>IF(PS_DateSetting=1," Month 17",T2+30.4)</f>
        <v>#REF!</v>
      </c>
      <c r="V2" s="10" t="e">
        <f>IF(PS_DateSetting=1," Month 18",U2+30.4)</f>
        <v>#REF!</v>
      </c>
      <c r="W2" s="10" t="e">
        <f>IF(PS_DateSetting=1," Month 19",V2+30.4)</f>
        <v>#REF!</v>
      </c>
      <c r="X2" s="10" t="e">
        <f>IF(PS_DateSetting=1," Month 20",W2+30.4)</f>
        <v>#REF!</v>
      </c>
      <c r="Y2" s="10" t="e">
        <f>IF(PS_DateSetting=1," Month 21",X2+30.4)</f>
        <v>#REF!</v>
      </c>
      <c r="Z2" s="10" t="e">
        <f>IF(PS_DateSetting=1," Month 22",Y2+30.4)</f>
        <v>#REF!</v>
      </c>
      <c r="AA2" s="10" t="e">
        <f>IF(PS_DateSetting=1," Month 23",Z2+30.4)</f>
        <v>#REF!</v>
      </c>
      <c r="AB2" s="10" t="e">
        <f>IF(PS_DateSetting=1," Month 24",AA2+30.4)</f>
        <v>#REF!</v>
      </c>
      <c r="AC2" s="11" t="e">
        <f>IF(PS_DateSetting=1," Year 2",IF(PS_StartingMonth&gt;1,"FY "&amp;PS_StartingYear+2,PS_StartingYear+1))</f>
        <v>#REF!</v>
      </c>
      <c r="AD2" s="13" t="e">
        <f>IF(PS_DateSetting=1," Year 2",IF(PS_StartingMonth&gt;1,"FY "&amp;PS_StartingYear+2,PS_StartingYear+1))</f>
        <v>#REF!</v>
      </c>
      <c r="AE2" s="13" t="e">
        <f>IF(PS_DateSetting=1," Year 3",IF(PS_StartingMonth&gt;1,"FY "&amp;PS_StartingYear+3,PS_StartingYear+2))</f>
        <v>#REF!</v>
      </c>
      <c r="AF2" s="13" t="e">
        <f>IF(PS_DateSetting=1," Year 4",IF(PS_StartingMonth&gt;1,"FY "&amp;PS_StartingYear+4,PS_StartingYear+3))</f>
        <v>#REF!</v>
      </c>
      <c r="AG2" s="13" t="e">
        <f>IF(PS_DateSetting=1," Year 5",IF(PS_StartingMonth&gt;1,"FY "&amp;PS_StartingYear+5,PS_StartingYear+4))</f>
        <v>#REF!</v>
      </c>
      <c r="AH2"/>
      <c r="AI2"/>
      <c r="AJ2"/>
      <c r="AL2"/>
      <c r="AM2"/>
      <c r="AN2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CO2" s="12"/>
      <c r="CP2" s="10" t="e">
        <f>IF(PS_DateSetting=1," Month 1",DATE(PS_StartingYear,PS_StartingMonth,15))</f>
        <v>#REF!</v>
      </c>
      <c r="CQ2" s="10" t="e">
        <f>IF(PS_DateSetting=1," Month 2",CP2+30.4)</f>
        <v>#REF!</v>
      </c>
      <c r="CR2" s="10" t="e">
        <f>IF(PS_DateSetting=1," Month 3",CQ2+30.4)</f>
        <v>#REF!</v>
      </c>
      <c r="CS2" s="10" t="e">
        <f>IF(PS_DateSetting=1," Month 4",CR2+30.4)</f>
        <v>#REF!</v>
      </c>
      <c r="CT2" s="10" t="e">
        <f>IF(PS_DateSetting=1," Month 5",CS2+30.4)</f>
        <v>#REF!</v>
      </c>
      <c r="CU2" s="10" t="e">
        <f>IF(PS_DateSetting=1," Month 6",CT2+30.4)</f>
        <v>#REF!</v>
      </c>
      <c r="CV2" s="10" t="e">
        <f>IF(PS_DateSetting=1," Month 7",CU2+30.4)</f>
        <v>#REF!</v>
      </c>
      <c r="CW2" s="10" t="e">
        <f>IF(PS_DateSetting=1," Month 8",CV2+30.4)</f>
        <v>#REF!</v>
      </c>
      <c r="CX2" s="10" t="e">
        <f>IF(PS_DateSetting=1," Month 9",CW2+30.4)</f>
        <v>#REF!</v>
      </c>
      <c r="CY2" s="10" t="e">
        <f>IF(PS_DateSetting=1," Month 10",CX2+30.4)</f>
        <v>#REF!</v>
      </c>
      <c r="CZ2" s="10" t="e">
        <f>IF(PS_DateSetting=1," Month 11",CY2+30.4)</f>
        <v>#REF!</v>
      </c>
      <c r="DA2" s="10" t="e">
        <f>IF(PS_DateSetting=1," Month 12",CZ2+30.4)</f>
        <v>#REF!</v>
      </c>
      <c r="DB2" s="11" t="e">
        <f>IF(PS_DateSetting=1," Year 1",IF(PS_StartingMonth&gt;1,"FY "&amp;PS_StartingYear+1,PS_StartingYear))</f>
        <v>#REF!</v>
      </c>
      <c r="DC2" s="13" t="e">
        <f>IF(PS_DateSetting=1," Year 2",IF(PS_StartingMonth&gt;1,"FY "&amp;PS_StartingYear+2,PS_StartingYear+1))</f>
        <v>#REF!</v>
      </c>
      <c r="DD2" s="13" t="e">
        <f>IF(PS_DateSetting=1," Year 3",IF(PS_StartingMonth&gt;1,"FY "&amp;PS_StartingYear+3,PS_StartingYear+2))</f>
        <v>#REF!</v>
      </c>
      <c r="DE2" s="13" t="e">
        <f>IF(PS_DateSetting=1," Year 4",IF(PS_StartingMonth&gt;1,"FY "&amp;PS_StartingYear+4,PS_StartingYear+3))</f>
        <v>#REF!</v>
      </c>
      <c r="DF2" s="13" t="e">
        <f>IF(PS_DateSetting=1," Year 5",IF(PS_StartingMonth&gt;1,"FY "&amp;PS_StartingYear+5,PS_StartingYear+4))</f>
        <v>#REF!</v>
      </c>
      <c r="DG2"/>
      <c r="DH2" s="12"/>
      <c r="DI2" s="10" t="e">
        <f>IF(PS_DateSetting=1," Month 1",DATE(PS_StartingYear,PS_StartingMonth,15))</f>
        <v>#REF!</v>
      </c>
      <c r="DJ2" s="10" t="e">
        <f>IF(PS_DateSetting=1," Month 2",DI2+30.4)</f>
        <v>#REF!</v>
      </c>
      <c r="DK2" s="10" t="e">
        <f>IF(PS_DateSetting=1," Month 3",DJ2+30.4)</f>
        <v>#REF!</v>
      </c>
      <c r="DL2" s="10" t="e">
        <f>IF(PS_DateSetting=1," Month 4",DK2+30.4)</f>
        <v>#REF!</v>
      </c>
      <c r="DM2" s="10" t="e">
        <f>IF(PS_DateSetting=1," Month 5",DL2+30.4)</f>
        <v>#REF!</v>
      </c>
      <c r="DN2" s="10" t="e">
        <f>IF(PS_DateSetting=1," Month 6",DM2+30.4)</f>
        <v>#REF!</v>
      </c>
      <c r="DO2" s="10" t="e">
        <f>IF(PS_DateSetting=1," Month 7",DN2+30.4)</f>
        <v>#REF!</v>
      </c>
      <c r="DP2" s="10" t="e">
        <f>IF(PS_DateSetting=1," Month 8",DO2+30.4)</f>
        <v>#REF!</v>
      </c>
      <c r="DQ2" s="10" t="e">
        <f>IF(PS_DateSetting=1," Month 9",DP2+30.4)</f>
        <v>#REF!</v>
      </c>
      <c r="DR2" s="10" t="e">
        <f>IF(PS_DateSetting=1," Month 10",DQ2+30.4)</f>
        <v>#REF!</v>
      </c>
      <c r="DS2" s="10" t="e">
        <f>IF(PS_DateSetting=1," Month 11",DR2+30.4)</f>
        <v>#REF!</v>
      </c>
      <c r="DT2" s="10" t="e">
        <f>IF(PS_DateSetting=1," Month 12",DS2+30.4)</f>
        <v>#REF!</v>
      </c>
      <c r="DU2" s="11" t="e">
        <f>IF(PS_DateSetting=1," Year 1",IF(PS_StartingMonth&gt;1,"FY "&amp;PS_StartingYear+1,PS_StartingYear))</f>
        <v>#REF!</v>
      </c>
      <c r="DV2" s="13" t="e">
        <f>IF(PS_DateSetting=1," Year 2",IF(PS_StartingMonth&gt;1,"FY "&amp;PS_StartingYear+2,PS_StartingYear+1))</f>
        <v>#REF!</v>
      </c>
      <c r="DW2" s="13" t="e">
        <f>IF(PS_DateSetting=1," Year 3",IF(PS_StartingMonth&gt;1,"FY "&amp;PS_StartingYear+3,PS_StartingYear+2))</f>
        <v>#REF!</v>
      </c>
      <c r="DX2" s="13" t="e">
        <f>IF(PS_DateSetting=1," Year 4",IF(PS_StartingMonth&gt;1,"FY "&amp;PS_StartingYear+4,PS_StartingYear+3))</f>
        <v>#REF!</v>
      </c>
      <c r="DY2" s="13" t="e">
        <f>IF(PS_DateSetting=1," Year 5",IF(PS_StartingMonth&gt;1,"FY "&amp;PS_StartingYear+5,PS_StartingYear+4))</f>
        <v>#REF!</v>
      </c>
      <c r="DZ2"/>
    </row>
    <row r="3" spans="1:173" ht="16.899999999999999" customHeight="1" thickBot="1" x14ac:dyDescent="0.25">
      <c r="A3" s="83" t="e">
        <f>IF(PS_Nonprofit=TRUE,"Funding","Sales")</f>
        <v>#REF!</v>
      </c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P3" s="84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/>
      <c r="AE3" s="86"/>
      <c r="AF3" s="87"/>
      <c r="AG3" s="86"/>
      <c r="AH3"/>
      <c r="AI3"/>
      <c r="AJ3"/>
      <c r="AL3"/>
      <c r="AM3"/>
      <c r="AN3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CA3"/>
      <c r="CB3"/>
      <c r="CC3"/>
      <c r="CD3"/>
      <c r="CE3"/>
      <c r="CF3"/>
      <c r="CG3"/>
      <c r="CH3"/>
      <c r="CI3"/>
      <c r="CJ3"/>
      <c r="CK3"/>
      <c r="CL3"/>
      <c r="CM3"/>
      <c r="CO3" s="84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6"/>
      <c r="DC3" s="87"/>
      <c r="DD3" s="86"/>
      <c r="DE3" s="87"/>
      <c r="DF3" s="86"/>
      <c r="DG3"/>
      <c r="DH3" s="84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6"/>
      <c r="DV3" s="87"/>
      <c r="DW3" s="86"/>
      <c r="DX3" s="87"/>
      <c r="DY3" s="86"/>
      <c r="DZ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 s="579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</row>
    <row r="4" spans="1:173" ht="12.4" customHeight="1" x14ac:dyDescent="0.2">
      <c r="A4" s="501" t="s">
        <v>57</v>
      </c>
      <c r="B4" s="502"/>
      <c r="C4" s="479">
        <v>0</v>
      </c>
      <c r="D4" s="479">
        <v>0</v>
      </c>
      <c r="E4" s="479">
        <v>0</v>
      </c>
      <c r="F4" s="479">
        <v>0</v>
      </c>
      <c r="G4" s="479">
        <v>0</v>
      </c>
      <c r="H4" s="479">
        <v>0</v>
      </c>
      <c r="I4" s="479">
        <v>0</v>
      </c>
      <c r="J4" s="479">
        <v>0</v>
      </c>
      <c r="K4" s="479">
        <v>0</v>
      </c>
      <c r="L4" s="479">
        <v>0</v>
      </c>
      <c r="M4" s="479">
        <v>0</v>
      </c>
      <c r="N4" s="479">
        <v>0</v>
      </c>
      <c r="O4" s="88">
        <f>SUM(C4:N4)</f>
        <v>0</v>
      </c>
      <c r="P4" s="503"/>
      <c r="Q4" s="479">
        <v>0</v>
      </c>
      <c r="R4" s="479">
        <v>0</v>
      </c>
      <c r="S4" s="479">
        <v>0</v>
      </c>
      <c r="T4" s="479">
        <v>0</v>
      </c>
      <c r="U4" s="479">
        <v>0</v>
      </c>
      <c r="V4" s="479">
        <v>0</v>
      </c>
      <c r="W4" s="479">
        <v>0</v>
      </c>
      <c r="X4" s="479">
        <v>0</v>
      </c>
      <c r="Y4" s="479">
        <v>0</v>
      </c>
      <c r="Z4" s="479">
        <v>0</v>
      </c>
      <c r="AA4" s="479">
        <v>0</v>
      </c>
      <c r="AB4" s="479">
        <v>0</v>
      </c>
      <c r="AC4" s="88">
        <f>SUM(Q4:AB4)</f>
        <v>0</v>
      </c>
      <c r="AD4" s="480">
        <f>(1000*(100)*26)+(1000*300*4)+((0.025*450000)*1000)</f>
        <v>15050000</v>
      </c>
      <c r="AE4" s="481">
        <f>(1000*(100)*26)+(1000*300*4)+((0.06*450000)*1000)</f>
        <v>30800000</v>
      </c>
      <c r="AF4" s="480">
        <f>(1000*(100)*26)+(1000*300*4)+((0.1*450000)*1000)</f>
        <v>48800000</v>
      </c>
      <c r="AG4" s="481">
        <f>(1000*(100)*26)+(1000*300*4)+((0.16*450000)*1000)</f>
        <v>75800000</v>
      </c>
      <c r="AH4"/>
      <c r="AI4"/>
      <c r="AJ4"/>
      <c r="AL4"/>
      <c r="AM4"/>
      <c r="AN4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CA4"/>
      <c r="CB4"/>
      <c r="CC4"/>
      <c r="CD4"/>
      <c r="CE4"/>
      <c r="CF4"/>
      <c r="CG4"/>
      <c r="CH4"/>
      <c r="CI4"/>
      <c r="CJ4"/>
      <c r="CK4"/>
      <c r="CL4"/>
      <c r="CM4"/>
      <c r="CO4" s="504"/>
      <c r="CP4" s="479">
        <f t="shared" ref="CP4:DA6" si="0">C4</f>
        <v>0</v>
      </c>
      <c r="CQ4" s="479">
        <f t="shared" si="0"/>
        <v>0</v>
      </c>
      <c r="CR4" s="479">
        <f t="shared" si="0"/>
        <v>0</v>
      </c>
      <c r="CS4" s="479">
        <f t="shared" si="0"/>
        <v>0</v>
      </c>
      <c r="CT4" s="479">
        <f t="shared" si="0"/>
        <v>0</v>
      </c>
      <c r="CU4" s="479">
        <f t="shared" si="0"/>
        <v>0</v>
      </c>
      <c r="CV4" s="479">
        <f t="shared" si="0"/>
        <v>0</v>
      </c>
      <c r="CW4" s="479">
        <f t="shared" si="0"/>
        <v>0</v>
      </c>
      <c r="CX4" s="479">
        <f t="shared" si="0"/>
        <v>0</v>
      </c>
      <c r="CY4" s="479">
        <f t="shared" si="0"/>
        <v>0</v>
      </c>
      <c r="CZ4" s="479">
        <f t="shared" si="0"/>
        <v>0</v>
      </c>
      <c r="DA4" s="479">
        <f t="shared" si="0"/>
        <v>0</v>
      </c>
      <c r="DB4" s="88">
        <f>SUM(CP4:DA4)</f>
        <v>0</v>
      </c>
      <c r="DC4" s="480" t="e">
        <f>IF(PS_AnnualDetail,AC4,AD4)</f>
        <v>#REF!</v>
      </c>
      <c r="DD4" s="481">
        <f t="shared" ref="DD4:DF6" si="1">AE4</f>
        <v>30800000</v>
      </c>
      <c r="DE4" s="480">
        <f t="shared" si="1"/>
        <v>48800000</v>
      </c>
      <c r="DF4" s="481">
        <f t="shared" si="1"/>
        <v>75800000</v>
      </c>
      <c r="DG4"/>
      <c r="DH4" s="89"/>
      <c r="DI4" s="90">
        <f t="shared" ref="DI4:DT6" si="2">CP4-C4</f>
        <v>0</v>
      </c>
      <c r="DJ4" s="90">
        <f t="shared" si="2"/>
        <v>0</v>
      </c>
      <c r="DK4" s="90">
        <f t="shared" si="2"/>
        <v>0</v>
      </c>
      <c r="DL4" s="90">
        <f t="shared" si="2"/>
        <v>0</v>
      </c>
      <c r="DM4" s="90">
        <f t="shared" si="2"/>
        <v>0</v>
      </c>
      <c r="DN4" s="90">
        <f t="shared" si="2"/>
        <v>0</v>
      </c>
      <c r="DO4" s="90">
        <f t="shared" si="2"/>
        <v>0</v>
      </c>
      <c r="DP4" s="90">
        <f t="shared" si="2"/>
        <v>0</v>
      </c>
      <c r="DQ4" s="90">
        <f t="shared" si="2"/>
        <v>0</v>
      </c>
      <c r="DR4" s="90">
        <f t="shared" si="2"/>
        <v>0</v>
      </c>
      <c r="DS4" s="90">
        <f t="shared" si="2"/>
        <v>0</v>
      </c>
      <c r="DT4" s="90">
        <f t="shared" si="2"/>
        <v>0</v>
      </c>
      <c r="DU4" s="91">
        <f>SUM(DI4:DT4)</f>
        <v>0</v>
      </c>
      <c r="DV4" s="90" t="e">
        <f>DC4-IF(PS_AnnualDetail,AC4,AD4)</f>
        <v>#REF!</v>
      </c>
      <c r="DW4" s="91">
        <f t="shared" ref="DW4:DY6" si="3">DD4-AE4</f>
        <v>0</v>
      </c>
      <c r="DX4" s="90">
        <f t="shared" si="3"/>
        <v>0</v>
      </c>
      <c r="DY4" s="91">
        <f t="shared" si="3"/>
        <v>0</v>
      </c>
      <c r="DZ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 s="405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</row>
    <row r="5" spans="1:173" ht="12.4" customHeight="1" x14ac:dyDescent="0.2">
      <c r="A5" s="664" t="s">
        <v>208</v>
      </c>
      <c r="B5" s="505"/>
      <c r="C5" s="482">
        <v>0</v>
      </c>
      <c r="D5" s="482">
        <v>0</v>
      </c>
      <c r="E5" s="482">
        <v>0</v>
      </c>
      <c r="F5" s="482">
        <v>0</v>
      </c>
      <c r="G5" s="482">
        <v>0</v>
      </c>
      <c r="H5" s="482">
        <v>0</v>
      </c>
      <c r="I5" s="482">
        <v>0</v>
      </c>
      <c r="J5" s="482">
        <v>0</v>
      </c>
      <c r="K5" s="482">
        <v>0</v>
      </c>
      <c r="L5" s="482">
        <v>0</v>
      </c>
      <c r="M5" s="482">
        <v>0</v>
      </c>
      <c r="N5" s="482">
        <v>0</v>
      </c>
      <c r="O5" s="88">
        <f>SUM(C5:N5)</f>
        <v>0</v>
      </c>
      <c r="P5" s="665"/>
      <c r="Q5" s="482">
        <v>0</v>
      </c>
      <c r="R5" s="482">
        <v>0</v>
      </c>
      <c r="S5" s="482">
        <v>0</v>
      </c>
      <c r="T5" s="482">
        <v>0</v>
      </c>
      <c r="U5" s="482">
        <v>0</v>
      </c>
      <c r="V5" s="482">
        <v>0</v>
      </c>
      <c r="W5" s="482">
        <v>0</v>
      </c>
      <c r="X5" s="482">
        <v>0</v>
      </c>
      <c r="Y5" s="482">
        <v>0</v>
      </c>
      <c r="Z5" s="482">
        <v>0</v>
      </c>
      <c r="AA5" s="482">
        <v>0</v>
      </c>
      <c r="AB5" s="482">
        <v>0</v>
      </c>
      <c r="AC5" s="88">
        <f>SUM(Q5:AB5)</f>
        <v>0</v>
      </c>
      <c r="AD5" s="483">
        <f>(1000*(100)*20)+((0.025*350000)*1000)</f>
        <v>10750000</v>
      </c>
      <c r="AE5" s="484">
        <f>(1000*(100)*20)+((0.06*350000)*1000)</f>
        <v>23000000</v>
      </c>
      <c r="AF5" s="483">
        <f>(1000*(100)*20)+((0.1*350000)*1000)</f>
        <v>37000000</v>
      </c>
      <c r="AG5" s="484">
        <f>(1000*(100)*20)+((0.16*350000)*1000)</f>
        <v>58000000</v>
      </c>
      <c r="AH5"/>
      <c r="AI5"/>
      <c r="AJ5"/>
      <c r="AL5"/>
      <c r="AM5"/>
      <c r="AN5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CA5"/>
      <c r="CB5"/>
      <c r="CC5"/>
      <c r="CD5"/>
      <c r="CE5"/>
      <c r="CF5"/>
      <c r="CG5"/>
      <c r="CH5"/>
      <c r="CI5"/>
      <c r="CJ5"/>
      <c r="CK5"/>
      <c r="CL5"/>
      <c r="CM5"/>
      <c r="CO5" s="512"/>
      <c r="CP5" s="482">
        <f t="shared" si="0"/>
        <v>0</v>
      </c>
      <c r="CQ5" s="482">
        <f t="shared" si="0"/>
        <v>0</v>
      </c>
      <c r="CR5" s="482">
        <f t="shared" si="0"/>
        <v>0</v>
      </c>
      <c r="CS5" s="482">
        <f t="shared" si="0"/>
        <v>0</v>
      </c>
      <c r="CT5" s="482">
        <f t="shared" si="0"/>
        <v>0</v>
      </c>
      <c r="CU5" s="482">
        <f t="shared" si="0"/>
        <v>0</v>
      </c>
      <c r="CV5" s="482">
        <f t="shared" si="0"/>
        <v>0</v>
      </c>
      <c r="CW5" s="482">
        <f t="shared" si="0"/>
        <v>0</v>
      </c>
      <c r="CX5" s="482">
        <f t="shared" si="0"/>
        <v>0</v>
      </c>
      <c r="CY5" s="482">
        <f t="shared" si="0"/>
        <v>0</v>
      </c>
      <c r="CZ5" s="482">
        <f t="shared" si="0"/>
        <v>0</v>
      </c>
      <c r="DA5" s="482">
        <f t="shared" si="0"/>
        <v>0</v>
      </c>
      <c r="DB5" s="88">
        <f>SUM(CP5:DA5)</f>
        <v>0</v>
      </c>
      <c r="DC5" s="483" t="e">
        <f>IF(PS_AnnualDetail,AC5,AD5)</f>
        <v>#REF!</v>
      </c>
      <c r="DD5" s="484">
        <f t="shared" si="1"/>
        <v>23000000</v>
      </c>
      <c r="DE5" s="483">
        <f t="shared" si="1"/>
        <v>37000000</v>
      </c>
      <c r="DF5" s="484">
        <f t="shared" si="1"/>
        <v>58000000</v>
      </c>
      <c r="DG5"/>
      <c r="DH5" s="92"/>
      <c r="DI5" s="93">
        <f t="shared" si="2"/>
        <v>0</v>
      </c>
      <c r="DJ5" s="93">
        <f t="shared" si="2"/>
        <v>0</v>
      </c>
      <c r="DK5" s="93">
        <f t="shared" si="2"/>
        <v>0</v>
      </c>
      <c r="DL5" s="93">
        <f t="shared" si="2"/>
        <v>0</v>
      </c>
      <c r="DM5" s="93">
        <f t="shared" si="2"/>
        <v>0</v>
      </c>
      <c r="DN5" s="93">
        <f t="shared" si="2"/>
        <v>0</v>
      </c>
      <c r="DO5" s="93">
        <f t="shared" si="2"/>
        <v>0</v>
      </c>
      <c r="DP5" s="93">
        <f t="shared" si="2"/>
        <v>0</v>
      </c>
      <c r="DQ5" s="93">
        <f t="shared" si="2"/>
        <v>0</v>
      </c>
      <c r="DR5" s="93">
        <f t="shared" si="2"/>
        <v>0</v>
      </c>
      <c r="DS5" s="93">
        <f t="shared" si="2"/>
        <v>0</v>
      </c>
      <c r="DT5" s="93">
        <f t="shared" si="2"/>
        <v>0</v>
      </c>
      <c r="DU5" s="94">
        <f>SUM(DI5:DT5)</f>
        <v>0</v>
      </c>
      <c r="DV5" s="93" t="e">
        <f>DC5-IF(PS_AnnualDetail,AC5,AD5)</f>
        <v>#REF!</v>
      </c>
      <c r="DW5" s="94">
        <f t="shared" si="3"/>
        <v>0</v>
      </c>
      <c r="DX5" s="93">
        <f t="shared" si="3"/>
        <v>0</v>
      </c>
      <c r="DY5" s="94">
        <f t="shared" si="3"/>
        <v>0</v>
      </c>
      <c r="DZ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 s="40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</row>
    <row r="6" spans="1:173" ht="13.15" customHeight="1" thickBot="1" x14ac:dyDescent="0.25">
      <c r="A6" s="507" t="s">
        <v>46</v>
      </c>
      <c r="B6" s="508"/>
      <c r="C6" s="487">
        <v>0</v>
      </c>
      <c r="D6" s="487">
        <v>0</v>
      </c>
      <c r="E6" s="487">
        <v>0</v>
      </c>
      <c r="F6" s="487">
        <v>0</v>
      </c>
      <c r="G6" s="487">
        <v>0</v>
      </c>
      <c r="H6" s="487">
        <v>0</v>
      </c>
      <c r="I6" s="487">
        <v>0</v>
      </c>
      <c r="J6" s="487">
        <v>0</v>
      </c>
      <c r="K6" s="487">
        <v>0</v>
      </c>
      <c r="L6" s="487">
        <v>0</v>
      </c>
      <c r="M6" s="487">
        <v>0</v>
      </c>
      <c r="N6" s="487">
        <v>0</v>
      </c>
      <c r="O6" s="88">
        <f>SUM(C6:N6)</f>
        <v>0</v>
      </c>
      <c r="P6" s="509"/>
      <c r="Q6" s="487">
        <v>0</v>
      </c>
      <c r="R6" s="487">
        <v>0</v>
      </c>
      <c r="S6" s="487">
        <v>0</v>
      </c>
      <c r="T6" s="487">
        <v>0</v>
      </c>
      <c r="U6" s="487">
        <v>0</v>
      </c>
      <c r="V6" s="487">
        <v>0</v>
      </c>
      <c r="W6" s="487">
        <v>0</v>
      </c>
      <c r="X6" s="487">
        <v>0</v>
      </c>
      <c r="Y6" s="487">
        <v>0</v>
      </c>
      <c r="Z6" s="487">
        <v>0</v>
      </c>
      <c r="AA6" s="487">
        <v>0</v>
      </c>
      <c r="AB6" s="487">
        <v>0</v>
      </c>
      <c r="AC6" s="88">
        <f>SUM(Q6:AB6)</f>
        <v>0</v>
      </c>
      <c r="AD6" s="488">
        <f>((800*26*(100))*(1/3))+(800*4*(300)*(1/3))+(((0.025*450000)*800)*(1/3))</f>
        <v>4013333.333333333</v>
      </c>
      <c r="AE6" s="489">
        <f>((800*26*(100))*(1/3))+(800*4*(300)*(1/3))+(((0.06*450000)*(1/3))*800)</f>
        <v>8213333.333333333</v>
      </c>
      <c r="AF6" s="488">
        <f>((800*26*(100))*(1/3))+(800*4*(300)*(1/3))+(((0.1*450000)*(1/3))*800)</f>
        <v>13013333.333333334</v>
      </c>
      <c r="AG6" s="489">
        <f>((800*26*(100))*(1/3))+(800*4*(300)*(1/3))+(((0.16*450000)*(1/3))*800)</f>
        <v>20213333.333333332</v>
      </c>
      <c r="AH6"/>
      <c r="AI6"/>
      <c r="AJ6"/>
      <c r="AL6"/>
      <c r="AM6"/>
      <c r="AN6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CA6"/>
      <c r="CB6"/>
      <c r="CC6"/>
      <c r="CD6"/>
      <c r="CE6"/>
      <c r="CF6"/>
      <c r="CG6"/>
      <c r="CH6"/>
      <c r="CI6"/>
      <c r="CJ6"/>
      <c r="CK6"/>
      <c r="CL6"/>
      <c r="CM6"/>
      <c r="CO6" s="510"/>
      <c r="CP6" s="487">
        <f t="shared" si="0"/>
        <v>0</v>
      </c>
      <c r="CQ6" s="487">
        <f t="shared" si="0"/>
        <v>0</v>
      </c>
      <c r="CR6" s="487">
        <f t="shared" si="0"/>
        <v>0</v>
      </c>
      <c r="CS6" s="487">
        <f t="shared" si="0"/>
        <v>0</v>
      </c>
      <c r="CT6" s="487">
        <f t="shared" si="0"/>
        <v>0</v>
      </c>
      <c r="CU6" s="487">
        <f t="shared" si="0"/>
        <v>0</v>
      </c>
      <c r="CV6" s="487">
        <f t="shared" si="0"/>
        <v>0</v>
      </c>
      <c r="CW6" s="487">
        <f t="shared" si="0"/>
        <v>0</v>
      </c>
      <c r="CX6" s="487">
        <f t="shared" si="0"/>
        <v>0</v>
      </c>
      <c r="CY6" s="487">
        <f t="shared" si="0"/>
        <v>0</v>
      </c>
      <c r="CZ6" s="487">
        <f t="shared" si="0"/>
        <v>0</v>
      </c>
      <c r="DA6" s="487">
        <f t="shared" si="0"/>
        <v>0</v>
      </c>
      <c r="DB6" s="88">
        <f>SUM(CP6:DA6)</f>
        <v>0</v>
      </c>
      <c r="DC6" s="488" t="e">
        <f>IF(PS_AnnualDetail,AC6,AD6)</f>
        <v>#REF!</v>
      </c>
      <c r="DD6" s="489">
        <f t="shared" si="1"/>
        <v>8213333.333333333</v>
      </c>
      <c r="DE6" s="488">
        <f t="shared" si="1"/>
        <v>13013333.333333334</v>
      </c>
      <c r="DF6" s="489">
        <f t="shared" si="1"/>
        <v>20213333.333333332</v>
      </c>
      <c r="DG6"/>
      <c r="DH6" s="95"/>
      <c r="DI6" s="96">
        <f t="shared" si="2"/>
        <v>0</v>
      </c>
      <c r="DJ6" s="96">
        <f t="shared" si="2"/>
        <v>0</v>
      </c>
      <c r="DK6" s="96">
        <f t="shared" si="2"/>
        <v>0</v>
      </c>
      <c r="DL6" s="96">
        <f t="shared" si="2"/>
        <v>0</v>
      </c>
      <c r="DM6" s="96">
        <f t="shared" si="2"/>
        <v>0</v>
      </c>
      <c r="DN6" s="96">
        <f t="shared" si="2"/>
        <v>0</v>
      </c>
      <c r="DO6" s="96">
        <f t="shared" si="2"/>
        <v>0</v>
      </c>
      <c r="DP6" s="96">
        <f t="shared" si="2"/>
        <v>0</v>
      </c>
      <c r="DQ6" s="96">
        <f t="shared" si="2"/>
        <v>0</v>
      </c>
      <c r="DR6" s="96">
        <f t="shared" si="2"/>
        <v>0</v>
      </c>
      <c r="DS6" s="96">
        <f t="shared" si="2"/>
        <v>0</v>
      </c>
      <c r="DT6" s="96">
        <f t="shared" si="2"/>
        <v>0</v>
      </c>
      <c r="DU6" s="97">
        <f>SUM(DI6:DT6)</f>
        <v>0</v>
      </c>
      <c r="DV6" s="96" t="e">
        <f>DC6-IF(PS_AnnualDetail,AC6,AD6)</f>
        <v>#REF!</v>
      </c>
      <c r="DW6" s="97">
        <f t="shared" si="3"/>
        <v>0</v>
      </c>
      <c r="DX6" s="96">
        <f t="shared" si="3"/>
        <v>0</v>
      </c>
      <c r="DY6" s="97">
        <f t="shared" si="3"/>
        <v>0</v>
      </c>
      <c r="DZ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 s="405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</row>
    <row r="7" spans="1:173" ht="12.4" customHeight="1" x14ac:dyDescent="0.2">
      <c r="A7" s="98" t="e">
        <f>IF(PS_Nonprofit=TRUE,"Total Funding","Total Sales")</f>
        <v>#REF!</v>
      </c>
      <c r="B7" s="99"/>
      <c r="C7" s="99">
        <f t="shared" ref="C7:N7" si="4">SUM(C4:C6)</f>
        <v>0</v>
      </c>
      <c r="D7" s="99">
        <f t="shared" si="4"/>
        <v>0</v>
      </c>
      <c r="E7" s="99">
        <f t="shared" si="4"/>
        <v>0</v>
      </c>
      <c r="F7" s="99">
        <f t="shared" si="4"/>
        <v>0</v>
      </c>
      <c r="G7" s="99">
        <f t="shared" si="4"/>
        <v>0</v>
      </c>
      <c r="H7" s="99">
        <f t="shared" si="4"/>
        <v>0</v>
      </c>
      <c r="I7" s="99">
        <f t="shared" si="4"/>
        <v>0</v>
      </c>
      <c r="J7" s="99">
        <f t="shared" si="4"/>
        <v>0</v>
      </c>
      <c r="K7" s="99">
        <f t="shared" si="4"/>
        <v>0</v>
      </c>
      <c r="L7" s="99">
        <f t="shared" si="4"/>
        <v>0</v>
      </c>
      <c r="M7" s="99">
        <f t="shared" si="4"/>
        <v>0</v>
      </c>
      <c r="N7" s="99">
        <f t="shared" si="4"/>
        <v>0</v>
      </c>
      <c r="O7" s="100">
        <f>SUM(C7:N7)</f>
        <v>0</v>
      </c>
      <c r="P7" s="99"/>
      <c r="Q7" s="99">
        <f t="shared" ref="Q7:AB7" si="5">SUM(Q4:Q6)</f>
        <v>0</v>
      </c>
      <c r="R7" s="99">
        <f t="shared" si="5"/>
        <v>0</v>
      </c>
      <c r="S7" s="99">
        <f t="shared" si="5"/>
        <v>0</v>
      </c>
      <c r="T7" s="99">
        <f t="shared" si="5"/>
        <v>0</v>
      </c>
      <c r="U7" s="99">
        <f t="shared" si="5"/>
        <v>0</v>
      </c>
      <c r="V7" s="99">
        <f t="shared" si="5"/>
        <v>0</v>
      </c>
      <c r="W7" s="99">
        <f t="shared" si="5"/>
        <v>0</v>
      </c>
      <c r="X7" s="99">
        <f t="shared" si="5"/>
        <v>0</v>
      </c>
      <c r="Y7" s="99">
        <f t="shared" si="5"/>
        <v>0</v>
      </c>
      <c r="Z7" s="99">
        <f t="shared" si="5"/>
        <v>0</v>
      </c>
      <c r="AA7" s="99">
        <f t="shared" si="5"/>
        <v>0</v>
      </c>
      <c r="AB7" s="99">
        <f t="shared" si="5"/>
        <v>0</v>
      </c>
      <c r="AC7" s="100">
        <f>SUM(Q7:AB7)</f>
        <v>0</v>
      </c>
      <c r="AD7" s="99">
        <f>SUM(AD4:AD6)</f>
        <v>29813333.333333332</v>
      </c>
      <c r="AE7" s="100">
        <f>SUM(AE4:AE6)</f>
        <v>62013333.333333336</v>
      </c>
      <c r="AF7" s="99">
        <f>SUM(AF4:AF6)</f>
        <v>98813333.333333328</v>
      </c>
      <c r="AG7" s="100">
        <f>SUM(AG4:AG6)</f>
        <v>154013333.33333334</v>
      </c>
      <c r="AH7"/>
      <c r="AI7"/>
      <c r="AJ7"/>
      <c r="AL7"/>
      <c r="AM7"/>
      <c r="AN7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/>
      <c r="CA7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O7" s="99"/>
      <c r="CP7" s="99">
        <f t="shared" ref="CP7:DA7" si="6">SUM(CP4:CP6)</f>
        <v>0</v>
      </c>
      <c r="CQ7" s="99">
        <f t="shared" si="6"/>
        <v>0</v>
      </c>
      <c r="CR7" s="99">
        <f t="shared" si="6"/>
        <v>0</v>
      </c>
      <c r="CS7" s="99">
        <f t="shared" si="6"/>
        <v>0</v>
      </c>
      <c r="CT7" s="99">
        <f t="shared" si="6"/>
        <v>0</v>
      </c>
      <c r="CU7" s="99">
        <f t="shared" si="6"/>
        <v>0</v>
      </c>
      <c r="CV7" s="99">
        <f t="shared" si="6"/>
        <v>0</v>
      </c>
      <c r="CW7" s="99">
        <f t="shared" si="6"/>
        <v>0</v>
      </c>
      <c r="CX7" s="99">
        <f t="shared" si="6"/>
        <v>0</v>
      </c>
      <c r="CY7" s="99">
        <f t="shared" si="6"/>
        <v>0</v>
      </c>
      <c r="CZ7" s="99">
        <f t="shared" si="6"/>
        <v>0</v>
      </c>
      <c r="DA7" s="99">
        <f t="shared" si="6"/>
        <v>0</v>
      </c>
      <c r="DB7" s="100">
        <f>SUM(CP7:DA7)</f>
        <v>0</v>
      </c>
      <c r="DC7" s="99" t="e">
        <f>SUM(DC4:DC6)</f>
        <v>#REF!</v>
      </c>
      <c r="DD7" s="100">
        <f>SUM(DD4:DD6)</f>
        <v>62013333.333333336</v>
      </c>
      <c r="DE7" s="99">
        <f>SUM(DE4:DE6)</f>
        <v>98813333.333333328</v>
      </c>
      <c r="DF7" s="100">
        <f>SUM(DF4:DF6)</f>
        <v>154013333.33333334</v>
      </c>
      <c r="DG7"/>
      <c r="DH7" s="99"/>
      <c r="DI7" s="99">
        <f t="shared" ref="DI7:DT7" si="7">SUM(DI4:DI6)</f>
        <v>0</v>
      </c>
      <c r="DJ7" s="99">
        <f t="shared" si="7"/>
        <v>0</v>
      </c>
      <c r="DK7" s="99">
        <f t="shared" si="7"/>
        <v>0</v>
      </c>
      <c r="DL7" s="99">
        <f t="shared" si="7"/>
        <v>0</v>
      </c>
      <c r="DM7" s="99">
        <f t="shared" si="7"/>
        <v>0</v>
      </c>
      <c r="DN7" s="99">
        <f t="shared" si="7"/>
        <v>0</v>
      </c>
      <c r="DO7" s="99">
        <f t="shared" si="7"/>
        <v>0</v>
      </c>
      <c r="DP7" s="99">
        <f t="shared" si="7"/>
        <v>0</v>
      </c>
      <c r="DQ7" s="99">
        <f t="shared" si="7"/>
        <v>0</v>
      </c>
      <c r="DR7" s="99">
        <f t="shared" si="7"/>
        <v>0</v>
      </c>
      <c r="DS7" s="99">
        <f t="shared" si="7"/>
        <v>0</v>
      </c>
      <c r="DT7" s="99">
        <f t="shared" si="7"/>
        <v>0</v>
      </c>
      <c r="DU7" s="100">
        <f>SUM(DI7:DT7)</f>
        <v>0</v>
      </c>
      <c r="DV7" s="99" t="e">
        <f>SUM(DV4:DV6)</f>
        <v>#REF!</v>
      </c>
      <c r="DW7" s="100">
        <f>SUM(DW4:DW6)</f>
        <v>0</v>
      </c>
      <c r="DX7" s="99">
        <f>SUM(DX4:DX6)</f>
        <v>0</v>
      </c>
      <c r="DY7" s="100">
        <f>SUM(DY4:DY6)</f>
        <v>0</v>
      </c>
      <c r="DZ7"/>
      <c r="ED7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/>
      <c r="EY7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/>
    </row>
    <row r="8" spans="1:173" ht="12.4" customHeight="1" x14ac:dyDescent="0.2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  <c r="P8" s="93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3"/>
      <c r="AD8" s="102"/>
      <c r="AE8" s="103"/>
      <c r="AF8" s="102"/>
      <c r="AG8" s="103"/>
      <c r="AH8"/>
      <c r="AI8"/>
      <c r="AJ8"/>
      <c r="AL8"/>
      <c r="AM8"/>
      <c r="AN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N8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3"/>
      <c r="DC8" s="102"/>
      <c r="DD8" s="103"/>
      <c r="DE8" s="102"/>
      <c r="DF8" s="103"/>
      <c r="DG8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3"/>
      <c r="DV8" s="102"/>
      <c r="DW8" s="103"/>
      <c r="DX8" s="102"/>
      <c r="DY8" s="103"/>
      <c r="DZ8"/>
      <c r="EQ8"/>
      <c r="FL8"/>
    </row>
    <row r="9" spans="1:173" ht="16.899999999999999" customHeight="1" thickBot="1" x14ac:dyDescent="0.25">
      <c r="A9" s="83" t="e">
        <f>IF(PS_Nonprofit=TRUE,"Direct Cost of Funding","Direct Cost of Sales")</f>
        <v>#REF!</v>
      </c>
      <c r="B9" s="84"/>
      <c r="C9" s="85" t="e">
        <f>IF(PS_DateSetting=1," Month 1",DATE(PS_StartingYear,PS_StartingMonth,15))</f>
        <v>#REF!</v>
      </c>
      <c r="D9" s="85" t="e">
        <f>IF(PS_DateSetting=1," Month 2",C9+30.4)</f>
        <v>#REF!</v>
      </c>
      <c r="E9" s="85" t="e">
        <f>IF(PS_DateSetting=1," Month 3",D9+30.4)</f>
        <v>#REF!</v>
      </c>
      <c r="F9" s="85" t="e">
        <f>IF(PS_DateSetting=1," Month 4",E9+30.4)</f>
        <v>#REF!</v>
      </c>
      <c r="G9" s="85" t="e">
        <f>IF(PS_DateSetting=1," Month 5",F9+30.4)</f>
        <v>#REF!</v>
      </c>
      <c r="H9" s="85" t="e">
        <f>IF(PS_DateSetting=1," Month 6",G9+30.4)</f>
        <v>#REF!</v>
      </c>
      <c r="I9" s="85" t="e">
        <f>IF(PS_DateSetting=1," Month 7",H9+30.4)</f>
        <v>#REF!</v>
      </c>
      <c r="J9" s="85" t="e">
        <f>IF(PS_DateSetting=1," Month 8",I9+30.4)</f>
        <v>#REF!</v>
      </c>
      <c r="K9" s="85" t="e">
        <f>IF(PS_DateSetting=1," Month 9",J9+30.4)</f>
        <v>#REF!</v>
      </c>
      <c r="L9" s="85" t="e">
        <f>IF(PS_DateSetting=1," Month 10",K9+30.4)</f>
        <v>#REF!</v>
      </c>
      <c r="M9" s="85" t="e">
        <f>IF(PS_DateSetting=1," Month 11",L9+30.4)</f>
        <v>#REF!</v>
      </c>
      <c r="N9" s="85" t="e">
        <f>IF(PS_DateSetting=1," Month 12",M9+30.4)</f>
        <v>#REF!</v>
      </c>
      <c r="O9" s="86" t="e">
        <f>IF(PS_DateSetting=1," Year 1",IF(PS_StartingMonth&gt;1,"FY "&amp;PS_StartingYear+1,PS_StartingYear))</f>
        <v>#REF!</v>
      </c>
      <c r="P9" s="84"/>
      <c r="Q9" s="85" t="e">
        <f>IF(PS_DateSetting=1," Month 13",DATE(PS_StartingYear,PS_StartingMonth,15))</f>
        <v>#REF!</v>
      </c>
      <c r="R9" s="85" t="e">
        <f>IF(PS_DateSetting=1," Month 14",Q9+30.4)</f>
        <v>#REF!</v>
      </c>
      <c r="S9" s="85" t="e">
        <f>IF(PS_DateSetting=1," Month 15",R9+30.4)</f>
        <v>#REF!</v>
      </c>
      <c r="T9" s="85" t="e">
        <f>IF(PS_DateSetting=1," Month 16",S9+30.4)</f>
        <v>#REF!</v>
      </c>
      <c r="U9" s="85" t="e">
        <f>IF(PS_DateSetting=1," Month 17",T9+30.4)</f>
        <v>#REF!</v>
      </c>
      <c r="V9" s="85" t="e">
        <f>IF(PS_DateSetting=1," Month 18",U9+30.4)</f>
        <v>#REF!</v>
      </c>
      <c r="W9" s="85" t="e">
        <f>IF(PS_DateSetting=1," Month 19",V9+30.4)</f>
        <v>#REF!</v>
      </c>
      <c r="X9" s="85" t="e">
        <f>IF(PS_DateSetting=1," Month 20",W9+30.4)</f>
        <v>#REF!</v>
      </c>
      <c r="Y9" s="85" t="e">
        <f>IF(PS_DateSetting=1," Month 21",X9+30.4)</f>
        <v>#REF!</v>
      </c>
      <c r="Z9" s="85" t="e">
        <f>IF(PS_DateSetting=1," Month 22",Y9+30.4)</f>
        <v>#REF!</v>
      </c>
      <c r="AA9" s="85" t="e">
        <f>IF(PS_DateSetting=1," Month 23",Z9+30.4)</f>
        <v>#REF!</v>
      </c>
      <c r="AB9" s="85" t="e">
        <f>IF(PS_DateSetting=1," Month 24",AA9+30.4)</f>
        <v>#REF!</v>
      </c>
      <c r="AC9" s="86" t="e">
        <f>IF(PS_DateSetting=1," Year 2",IF(PS_StartingMonth&gt;1,"FY "&amp;PS_StartingYear+2,PS_StartingYear+1))</f>
        <v>#REF!</v>
      </c>
      <c r="AD9" s="104" t="e">
        <f>IF(PS_DateSetting=1," Year 2",IF(PS_StartingMonth&gt;1,"FY "&amp;PS_StartingYear+2,PS_StartingYear+1))</f>
        <v>#REF!</v>
      </c>
      <c r="AE9" s="86" t="e">
        <f>IF(PS_DateSetting=1," Year 3",IF(PS_StartingMonth&gt;1,"FY "&amp;PS_StartingYear+3,PS_StartingYear+2))</f>
        <v>#REF!</v>
      </c>
      <c r="AF9" s="87" t="e">
        <f>IF(PS_DateSetting=1," Year 4",IF(PS_StartingMonth&gt;1,"FY "&amp;PS_StartingYear+4,PS_StartingYear+3))</f>
        <v>#REF!</v>
      </c>
      <c r="AG9" s="86" t="e">
        <f>IF(PS_DateSetting=1," Year 5",IF(PS_StartingMonth&gt;1,"FY "&amp;PS_StartingYear+5,PS_StartingYear+4))</f>
        <v>#REF!</v>
      </c>
      <c r="AH9"/>
      <c r="AI9"/>
      <c r="AJ9"/>
      <c r="AL9"/>
      <c r="AM9"/>
      <c r="AN9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CO9" s="84"/>
      <c r="CP9" s="85" t="e">
        <f>IF(PS_DateSetting=1," Month 1",DATE(PS_StartingYear,PS_StartingMonth,15))</f>
        <v>#REF!</v>
      </c>
      <c r="CQ9" s="85" t="e">
        <f>IF(PS_DateSetting=1," Month 2",CP9+30.4)</f>
        <v>#REF!</v>
      </c>
      <c r="CR9" s="85" t="e">
        <f>IF(PS_DateSetting=1," Month 3",CQ9+30.4)</f>
        <v>#REF!</v>
      </c>
      <c r="CS9" s="85" t="e">
        <f>IF(PS_DateSetting=1," Month 4",CR9+30.4)</f>
        <v>#REF!</v>
      </c>
      <c r="CT9" s="85" t="e">
        <f>IF(PS_DateSetting=1," Month 5",CS9+30.4)</f>
        <v>#REF!</v>
      </c>
      <c r="CU9" s="85" t="e">
        <f>IF(PS_DateSetting=1," Month 6",CT9+30.4)</f>
        <v>#REF!</v>
      </c>
      <c r="CV9" s="85" t="e">
        <f>IF(PS_DateSetting=1," Month 7",CU9+30.4)</f>
        <v>#REF!</v>
      </c>
      <c r="CW9" s="85" t="e">
        <f>IF(PS_DateSetting=1," Month 8",CV9+30.4)</f>
        <v>#REF!</v>
      </c>
      <c r="CX9" s="85" t="e">
        <f>IF(PS_DateSetting=1," Month 9",CW9+30.4)</f>
        <v>#REF!</v>
      </c>
      <c r="CY9" s="85" t="e">
        <f>IF(PS_DateSetting=1," Month 10",CX9+30.4)</f>
        <v>#REF!</v>
      </c>
      <c r="CZ9" s="85" t="e">
        <f>IF(PS_DateSetting=1," Month 11",CY9+30.4)</f>
        <v>#REF!</v>
      </c>
      <c r="DA9" s="85" t="e">
        <f>IF(PS_DateSetting=1," Month 12",CZ9+30.4)</f>
        <v>#REF!</v>
      </c>
      <c r="DB9" s="86" t="e">
        <f>IF(PS_DateSetting=1," Year 1",IF(PS_StartingMonth&gt;1,"FY "&amp;PS_StartingYear+1,PS_StartingYear))</f>
        <v>#REF!</v>
      </c>
      <c r="DC9" s="104" t="e">
        <f>IF(PS_DateSetting=1," Year 2",IF(PS_StartingMonth&gt;1,"FY "&amp;PS_StartingYear+2,PS_StartingYear+1))</f>
        <v>#REF!</v>
      </c>
      <c r="DD9" s="86" t="e">
        <f>IF(PS_DateSetting=1," Year 3",IF(PS_StartingMonth&gt;1,"FY "&amp;PS_StartingYear+3,PS_StartingYear+2))</f>
        <v>#REF!</v>
      </c>
      <c r="DE9" s="87" t="e">
        <f>IF(PS_DateSetting=1," Year 4",IF(PS_StartingMonth&gt;1,"FY "&amp;PS_StartingYear+4,PS_StartingYear+3))</f>
        <v>#REF!</v>
      </c>
      <c r="DF9" s="86" t="e">
        <f>IF(PS_DateSetting=1," Year 5",IF(PS_StartingMonth&gt;1,"FY "&amp;PS_StartingYear+5,PS_StartingYear+4))</f>
        <v>#REF!</v>
      </c>
      <c r="DG9"/>
      <c r="DH9" s="84"/>
      <c r="DI9" s="85" t="e">
        <f>IF(PS_DateSetting=1," Month 1",DATE(PS_StartingYear,PS_StartingMonth,15))</f>
        <v>#REF!</v>
      </c>
      <c r="DJ9" s="85" t="e">
        <f>IF(PS_DateSetting=1," Month 2",DI9+30.4)</f>
        <v>#REF!</v>
      </c>
      <c r="DK9" s="85" t="e">
        <f>IF(PS_DateSetting=1," Month 3",DJ9+30.4)</f>
        <v>#REF!</v>
      </c>
      <c r="DL9" s="85" t="e">
        <f>IF(PS_DateSetting=1," Month 4",DK9+30.4)</f>
        <v>#REF!</v>
      </c>
      <c r="DM9" s="85" t="e">
        <f>IF(PS_DateSetting=1," Month 5",DL9+30.4)</f>
        <v>#REF!</v>
      </c>
      <c r="DN9" s="85" t="e">
        <f>IF(PS_DateSetting=1," Month 6",DM9+30.4)</f>
        <v>#REF!</v>
      </c>
      <c r="DO9" s="85" t="e">
        <f>IF(PS_DateSetting=1," Month 7",DN9+30.4)</f>
        <v>#REF!</v>
      </c>
      <c r="DP9" s="85" t="e">
        <f>IF(PS_DateSetting=1," Month 8",DO9+30.4)</f>
        <v>#REF!</v>
      </c>
      <c r="DQ9" s="85" t="e">
        <f>IF(PS_DateSetting=1," Month 9",DP9+30.4)</f>
        <v>#REF!</v>
      </c>
      <c r="DR9" s="85" t="e">
        <f>IF(PS_DateSetting=1," Month 10",DQ9+30.4)</f>
        <v>#REF!</v>
      </c>
      <c r="DS9" s="85" t="e">
        <f>IF(PS_DateSetting=1," Month 11",DR9+30.4)</f>
        <v>#REF!</v>
      </c>
      <c r="DT9" s="85" t="e">
        <f>IF(PS_DateSetting=1," Month 12",DS9+30.4)</f>
        <v>#REF!</v>
      </c>
      <c r="DU9" s="86" t="e">
        <f>IF(PS_DateSetting=1," Year 1",IF(PS_StartingMonth&gt;1,"FY "&amp;PS_StartingYear+1,PS_StartingYear))</f>
        <v>#REF!</v>
      </c>
      <c r="DV9" s="104" t="e">
        <f>IF(PS_DateSetting=1," Year 2",IF(PS_StartingMonth&gt;1,"FY "&amp;PS_StartingYear+2,PS_StartingYear+1))</f>
        <v>#REF!</v>
      </c>
      <c r="DW9" s="86" t="e">
        <f>IF(PS_DateSetting=1," Year 3",IF(PS_StartingMonth&gt;1,"FY "&amp;PS_StartingYear+3,PS_StartingYear+2))</f>
        <v>#REF!</v>
      </c>
      <c r="DX9" s="87" t="e">
        <f>IF(PS_DateSetting=1," Year 4",IF(PS_StartingMonth&gt;1,"FY "&amp;PS_StartingYear+4,PS_StartingYear+3))</f>
        <v>#REF!</v>
      </c>
      <c r="DY9" s="86" t="e">
        <f>IF(PS_DateSetting=1," Year 5",IF(PS_StartingMonth&gt;1,"FY "&amp;PS_StartingYear+5,PS_StartingYear+4))</f>
        <v>#REF!</v>
      </c>
      <c r="DZ9"/>
    </row>
    <row r="10" spans="1:173" ht="12.4" customHeight="1" x14ac:dyDescent="0.2">
      <c r="A10" s="501" t="s">
        <v>145</v>
      </c>
      <c r="B10" s="504"/>
      <c r="C10" s="479">
        <v>11833.33</v>
      </c>
      <c r="D10" s="479">
        <v>11833</v>
      </c>
      <c r="E10" s="479">
        <v>11833</v>
      </c>
      <c r="F10" s="479">
        <v>11833</v>
      </c>
      <c r="G10" s="479">
        <v>11833</v>
      </c>
      <c r="H10" s="479">
        <v>11833</v>
      </c>
      <c r="I10" s="479">
        <v>11833</v>
      </c>
      <c r="J10" s="479">
        <v>11833</v>
      </c>
      <c r="K10" s="479">
        <v>11833</v>
      </c>
      <c r="L10" s="479">
        <v>11833</v>
      </c>
      <c r="M10" s="479">
        <v>11833</v>
      </c>
      <c r="N10" s="479">
        <v>11833</v>
      </c>
      <c r="O10" s="460">
        <f>SUM(C10:N10)</f>
        <v>141996.33000000002</v>
      </c>
      <c r="P10" s="503"/>
      <c r="Q10" s="479">
        <v>0</v>
      </c>
      <c r="R10" s="479">
        <v>0</v>
      </c>
      <c r="S10" s="479">
        <v>0</v>
      </c>
      <c r="T10" s="479">
        <v>0</v>
      </c>
      <c r="U10" s="479">
        <v>0</v>
      </c>
      <c r="V10" s="479">
        <v>0</v>
      </c>
      <c r="W10" s="479">
        <v>0</v>
      </c>
      <c r="X10" s="479">
        <v>0</v>
      </c>
      <c r="Y10" s="479">
        <v>0</v>
      </c>
      <c r="Z10" s="479">
        <v>0</v>
      </c>
      <c r="AA10" s="479">
        <v>0</v>
      </c>
      <c r="AB10" s="479">
        <v>0</v>
      </c>
      <c r="AC10" s="88">
        <f>SUM(Q10:AB10)</f>
        <v>0</v>
      </c>
      <c r="AD10" s="672">
        <v>1280750</v>
      </c>
      <c r="AE10" s="673">
        <v>4487000</v>
      </c>
      <c r="AF10" s="672">
        <v>6624500</v>
      </c>
      <c r="AG10" s="673">
        <v>8762000</v>
      </c>
      <c r="AH10"/>
      <c r="AI10"/>
      <c r="AJ10"/>
      <c r="AL10"/>
      <c r="AM10"/>
      <c r="AN10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CO10" s="504" t="s">
        <v>89</v>
      </c>
      <c r="CP10" s="479">
        <f t="shared" ref="CP10:DA11" si="8">C10</f>
        <v>11833.33</v>
      </c>
      <c r="CQ10" s="479">
        <f t="shared" si="8"/>
        <v>11833</v>
      </c>
      <c r="CR10" s="479">
        <f t="shared" si="8"/>
        <v>11833</v>
      </c>
      <c r="CS10" s="479">
        <f t="shared" si="8"/>
        <v>11833</v>
      </c>
      <c r="CT10" s="479">
        <f t="shared" si="8"/>
        <v>11833</v>
      </c>
      <c r="CU10" s="479">
        <f t="shared" si="8"/>
        <v>11833</v>
      </c>
      <c r="CV10" s="479">
        <f t="shared" si="8"/>
        <v>11833</v>
      </c>
      <c r="CW10" s="479">
        <f t="shared" si="8"/>
        <v>11833</v>
      </c>
      <c r="CX10" s="479">
        <f t="shared" si="8"/>
        <v>11833</v>
      </c>
      <c r="CY10" s="479">
        <f t="shared" si="8"/>
        <v>11833</v>
      </c>
      <c r="CZ10" s="479">
        <f t="shared" si="8"/>
        <v>11833</v>
      </c>
      <c r="DA10" s="479">
        <f t="shared" si="8"/>
        <v>11833</v>
      </c>
      <c r="DB10" s="460">
        <f>SUM(CP10:DA10)</f>
        <v>141996.33000000002</v>
      </c>
      <c r="DC10" s="480" t="e">
        <f>IF(PS_AnnualDetail,AC10,AD10)</f>
        <v>#REF!</v>
      </c>
      <c r="DD10" s="481">
        <f t="shared" ref="DD10:DF11" si="9">AE10</f>
        <v>4487000</v>
      </c>
      <c r="DE10" s="480">
        <f t="shared" si="9"/>
        <v>6624500</v>
      </c>
      <c r="DF10" s="481">
        <f t="shared" si="9"/>
        <v>8762000</v>
      </c>
      <c r="DG10"/>
      <c r="DH10" s="89" t="s">
        <v>89</v>
      </c>
      <c r="DI10" s="90">
        <f t="shared" ref="DI10:DT11" si="10">C10-CP10</f>
        <v>0</v>
      </c>
      <c r="DJ10" s="90">
        <f t="shared" si="10"/>
        <v>0</v>
      </c>
      <c r="DK10" s="90">
        <f t="shared" si="10"/>
        <v>0</v>
      </c>
      <c r="DL10" s="90">
        <f t="shared" si="10"/>
        <v>0</v>
      </c>
      <c r="DM10" s="90">
        <f t="shared" si="10"/>
        <v>0</v>
      </c>
      <c r="DN10" s="90">
        <f t="shared" si="10"/>
        <v>0</v>
      </c>
      <c r="DO10" s="90">
        <f t="shared" si="10"/>
        <v>0</v>
      </c>
      <c r="DP10" s="90">
        <f t="shared" si="10"/>
        <v>0</v>
      </c>
      <c r="DQ10" s="90">
        <f t="shared" si="10"/>
        <v>0</v>
      </c>
      <c r="DR10" s="90">
        <f t="shared" si="10"/>
        <v>0</v>
      </c>
      <c r="DS10" s="90">
        <f t="shared" si="10"/>
        <v>0</v>
      </c>
      <c r="DT10" s="90">
        <f t="shared" si="10"/>
        <v>0</v>
      </c>
      <c r="DU10" s="91">
        <f>SUM(DI10:DT10)</f>
        <v>0</v>
      </c>
      <c r="DV10" s="90" t="e">
        <f>IF(PS_AnnualDetail,AC10,AD10)-DC10</f>
        <v>#REF!</v>
      </c>
      <c r="DW10" s="91">
        <f t="shared" ref="DW10:DY11" si="11">AE10-DD10</f>
        <v>0</v>
      </c>
      <c r="DX10" s="90">
        <f t="shared" si="11"/>
        <v>0</v>
      </c>
      <c r="DY10" s="91">
        <f t="shared" si="11"/>
        <v>0</v>
      </c>
      <c r="DZ10"/>
    </row>
    <row r="11" spans="1:173" ht="13.15" customHeight="1" thickBot="1" x14ac:dyDescent="0.3">
      <c r="A11" s="509"/>
      <c r="B11" s="510"/>
      <c r="C11" s="487">
        <v>0</v>
      </c>
      <c r="D11" s="487">
        <v>0</v>
      </c>
      <c r="E11" s="487">
        <v>0</v>
      </c>
      <c r="F11" s="487">
        <v>0</v>
      </c>
      <c r="G11" s="487">
        <v>0</v>
      </c>
      <c r="H11" s="487">
        <v>0</v>
      </c>
      <c r="I11" s="487">
        <v>0</v>
      </c>
      <c r="J11" s="487">
        <v>0</v>
      </c>
      <c r="K11" s="487">
        <v>0</v>
      </c>
      <c r="L11" s="487">
        <v>0</v>
      </c>
      <c r="M11" s="487">
        <v>0</v>
      </c>
      <c r="N11" s="487">
        <v>0</v>
      </c>
      <c r="O11" s="461">
        <f>SUM(C11:N11)</f>
        <v>0</v>
      </c>
      <c r="P11" s="509"/>
      <c r="Q11" s="487">
        <v>0</v>
      </c>
      <c r="R11" s="487">
        <v>0</v>
      </c>
      <c r="S11" s="487">
        <v>0</v>
      </c>
      <c r="T11" s="487">
        <v>0</v>
      </c>
      <c r="U11" s="487">
        <v>0</v>
      </c>
      <c r="V11" s="487">
        <v>0</v>
      </c>
      <c r="W11" s="487">
        <v>0</v>
      </c>
      <c r="X11" s="487">
        <v>0</v>
      </c>
      <c r="Y11" s="487">
        <v>0</v>
      </c>
      <c r="Z11" s="487">
        <v>0</v>
      </c>
      <c r="AA11" s="487">
        <v>0</v>
      </c>
      <c r="AB11" s="487">
        <v>0</v>
      </c>
      <c r="AC11" s="88">
        <f>SUM(Q11:AB11)</f>
        <v>0</v>
      </c>
      <c r="AD11" s="666">
        <v>0</v>
      </c>
      <c r="AE11" s="666">
        <v>0</v>
      </c>
      <c r="AF11" s="666">
        <v>0</v>
      </c>
      <c r="AG11" s="666">
        <v>0</v>
      </c>
      <c r="AH11"/>
      <c r="AI11"/>
      <c r="AJ11"/>
      <c r="AL11"/>
      <c r="AM11"/>
      <c r="AN11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CO11" s="510" t="s">
        <v>89</v>
      </c>
      <c r="CP11" s="487">
        <f t="shared" si="8"/>
        <v>0</v>
      </c>
      <c r="CQ11" s="487">
        <f t="shared" si="8"/>
        <v>0</v>
      </c>
      <c r="CR11" s="487">
        <f t="shared" si="8"/>
        <v>0</v>
      </c>
      <c r="CS11" s="487">
        <f t="shared" si="8"/>
        <v>0</v>
      </c>
      <c r="CT11" s="487">
        <f t="shared" si="8"/>
        <v>0</v>
      </c>
      <c r="CU11" s="487">
        <f t="shared" si="8"/>
        <v>0</v>
      </c>
      <c r="CV11" s="487">
        <f t="shared" si="8"/>
        <v>0</v>
      </c>
      <c r="CW11" s="487">
        <f t="shared" si="8"/>
        <v>0</v>
      </c>
      <c r="CX11" s="487">
        <f t="shared" si="8"/>
        <v>0</v>
      </c>
      <c r="CY11" s="487">
        <f t="shared" si="8"/>
        <v>0</v>
      </c>
      <c r="CZ11" s="487">
        <f t="shared" si="8"/>
        <v>0</v>
      </c>
      <c r="DA11" s="487">
        <f t="shared" si="8"/>
        <v>0</v>
      </c>
      <c r="DB11" s="461">
        <f>SUM(CP11:DA11)</f>
        <v>0</v>
      </c>
      <c r="DC11" s="488" t="e">
        <f>IF(PS_AnnualDetail,AC11,AD11)</f>
        <v>#REF!</v>
      </c>
      <c r="DD11" s="489">
        <f t="shared" si="9"/>
        <v>0</v>
      </c>
      <c r="DE11" s="488">
        <f t="shared" si="9"/>
        <v>0</v>
      </c>
      <c r="DF11" s="489">
        <f t="shared" si="9"/>
        <v>0</v>
      </c>
      <c r="DG11"/>
      <c r="DH11" s="95" t="s">
        <v>89</v>
      </c>
      <c r="DI11" s="96">
        <f t="shared" si="10"/>
        <v>0</v>
      </c>
      <c r="DJ11" s="96">
        <f t="shared" si="10"/>
        <v>0</v>
      </c>
      <c r="DK11" s="96">
        <f t="shared" si="10"/>
        <v>0</v>
      </c>
      <c r="DL11" s="96">
        <f t="shared" si="10"/>
        <v>0</v>
      </c>
      <c r="DM11" s="96">
        <f t="shared" si="10"/>
        <v>0</v>
      </c>
      <c r="DN11" s="96">
        <f t="shared" si="10"/>
        <v>0</v>
      </c>
      <c r="DO11" s="96">
        <f t="shared" si="10"/>
        <v>0</v>
      </c>
      <c r="DP11" s="96">
        <f t="shared" si="10"/>
        <v>0</v>
      </c>
      <c r="DQ11" s="96">
        <f t="shared" si="10"/>
        <v>0</v>
      </c>
      <c r="DR11" s="96">
        <f t="shared" si="10"/>
        <v>0</v>
      </c>
      <c r="DS11" s="96">
        <f t="shared" si="10"/>
        <v>0</v>
      </c>
      <c r="DT11" s="96">
        <f t="shared" si="10"/>
        <v>0</v>
      </c>
      <c r="DU11" s="97">
        <f>SUM(DI11:DT11)</f>
        <v>0</v>
      </c>
      <c r="DV11" s="96" t="e">
        <f>IF(PS_AnnualDetail,AC11,AD11)-DC11</f>
        <v>#REF!</v>
      </c>
      <c r="DW11" s="97">
        <f t="shared" si="11"/>
        <v>0</v>
      </c>
      <c r="DX11" s="96">
        <f t="shared" si="11"/>
        <v>0</v>
      </c>
      <c r="DY11" s="97">
        <f t="shared" si="11"/>
        <v>0</v>
      </c>
      <c r="DZ11"/>
    </row>
    <row r="12" spans="1:173" ht="12.4" customHeight="1" x14ac:dyDescent="0.2">
      <c r="A12" s="105" t="e">
        <f>IF(PS_Nonprofit=TRUE,"Subtotal Cost of Funding","Subtotal Direct Cost of Sales")</f>
        <v>#REF!</v>
      </c>
      <c r="B12" s="106"/>
      <c r="C12" s="106">
        <f t="shared" ref="C12:N12" si="12">SUM(C10:C11)</f>
        <v>11833.33</v>
      </c>
      <c r="D12" s="106">
        <f t="shared" si="12"/>
        <v>11833</v>
      </c>
      <c r="E12" s="106">
        <f t="shared" si="12"/>
        <v>11833</v>
      </c>
      <c r="F12" s="106">
        <f t="shared" si="12"/>
        <v>11833</v>
      </c>
      <c r="G12" s="106">
        <f t="shared" si="12"/>
        <v>11833</v>
      </c>
      <c r="H12" s="106">
        <f t="shared" si="12"/>
        <v>11833</v>
      </c>
      <c r="I12" s="106">
        <f t="shared" si="12"/>
        <v>11833</v>
      </c>
      <c r="J12" s="106">
        <f t="shared" si="12"/>
        <v>11833</v>
      </c>
      <c r="K12" s="106">
        <f t="shared" si="12"/>
        <v>11833</v>
      </c>
      <c r="L12" s="106">
        <f t="shared" si="12"/>
        <v>11833</v>
      </c>
      <c r="M12" s="106">
        <f t="shared" si="12"/>
        <v>11833</v>
      </c>
      <c r="N12" s="106">
        <f t="shared" si="12"/>
        <v>11833</v>
      </c>
      <c r="O12" s="107">
        <f>SUM(C12:N12)</f>
        <v>141996.33000000002</v>
      </c>
      <c r="P12" s="106"/>
      <c r="Q12" s="106">
        <f t="shared" ref="Q12:AB12" si="13">SUM(Q10:Q11)</f>
        <v>0</v>
      </c>
      <c r="R12" s="106">
        <f t="shared" si="13"/>
        <v>0</v>
      </c>
      <c r="S12" s="106">
        <f t="shared" si="13"/>
        <v>0</v>
      </c>
      <c r="T12" s="106">
        <f t="shared" si="13"/>
        <v>0</v>
      </c>
      <c r="U12" s="106">
        <f t="shared" si="13"/>
        <v>0</v>
      </c>
      <c r="V12" s="106">
        <f t="shared" si="13"/>
        <v>0</v>
      </c>
      <c r="W12" s="106">
        <f t="shared" si="13"/>
        <v>0</v>
      </c>
      <c r="X12" s="106">
        <f t="shared" si="13"/>
        <v>0</v>
      </c>
      <c r="Y12" s="106">
        <f t="shared" si="13"/>
        <v>0</v>
      </c>
      <c r="Z12" s="106">
        <f t="shared" si="13"/>
        <v>0</v>
      </c>
      <c r="AA12" s="106">
        <f t="shared" si="13"/>
        <v>0</v>
      </c>
      <c r="AB12" s="106">
        <f t="shared" si="13"/>
        <v>0</v>
      </c>
      <c r="AC12" s="107">
        <f>SUM(Q12:AB12)</f>
        <v>0</v>
      </c>
      <c r="AD12" s="106">
        <f>SUM(AD10:AD11)</f>
        <v>1280750</v>
      </c>
      <c r="AE12" s="107">
        <f>SUM(AE10:AE11)</f>
        <v>4487000</v>
      </c>
      <c r="AF12" s="106">
        <f>SUM(AF10:AF11)</f>
        <v>6624500</v>
      </c>
      <c r="AG12" s="107">
        <f>SUM(AG10:AG11)</f>
        <v>8762000</v>
      </c>
      <c r="AH12"/>
      <c r="AI12"/>
      <c r="AJ12"/>
      <c r="AL12"/>
      <c r="AM12"/>
      <c r="AN12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CO12" s="106"/>
      <c r="CP12" s="106">
        <f t="shared" ref="CP12:DA12" si="14">SUM(CP10:CP11)</f>
        <v>11833.33</v>
      </c>
      <c r="CQ12" s="106">
        <f t="shared" si="14"/>
        <v>11833</v>
      </c>
      <c r="CR12" s="106">
        <f t="shared" si="14"/>
        <v>11833</v>
      </c>
      <c r="CS12" s="106">
        <f t="shared" si="14"/>
        <v>11833</v>
      </c>
      <c r="CT12" s="106">
        <f t="shared" si="14"/>
        <v>11833</v>
      </c>
      <c r="CU12" s="106">
        <f t="shared" si="14"/>
        <v>11833</v>
      </c>
      <c r="CV12" s="106">
        <f t="shared" si="14"/>
        <v>11833</v>
      </c>
      <c r="CW12" s="106">
        <f t="shared" si="14"/>
        <v>11833</v>
      </c>
      <c r="CX12" s="106">
        <f t="shared" si="14"/>
        <v>11833</v>
      </c>
      <c r="CY12" s="106">
        <f t="shared" si="14"/>
        <v>11833</v>
      </c>
      <c r="CZ12" s="106">
        <f t="shared" si="14"/>
        <v>11833</v>
      </c>
      <c r="DA12" s="106">
        <f t="shared" si="14"/>
        <v>11833</v>
      </c>
      <c r="DB12" s="107">
        <f>SUM(CP12:DA12)</f>
        <v>141996.33000000002</v>
      </c>
      <c r="DC12" s="106" t="e">
        <f>SUM(DC10:DC11)</f>
        <v>#REF!</v>
      </c>
      <c r="DD12" s="107">
        <f>SUM(DD10:DD11)</f>
        <v>4487000</v>
      </c>
      <c r="DE12" s="106">
        <f>SUM(DE10:DE11)</f>
        <v>6624500</v>
      </c>
      <c r="DF12" s="107">
        <f>SUM(DF10:DF11)</f>
        <v>8762000</v>
      </c>
      <c r="DG12"/>
      <c r="DH12" s="106"/>
      <c r="DI12" s="106">
        <f t="shared" ref="DI12:DT12" si="15">SUM(DI10:DI11)</f>
        <v>0</v>
      </c>
      <c r="DJ12" s="106">
        <f t="shared" si="15"/>
        <v>0</v>
      </c>
      <c r="DK12" s="106">
        <f t="shared" si="15"/>
        <v>0</v>
      </c>
      <c r="DL12" s="106">
        <f t="shared" si="15"/>
        <v>0</v>
      </c>
      <c r="DM12" s="106">
        <f t="shared" si="15"/>
        <v>0</v>
      </c>
      <c r="DN12" s="106">
        <f t="shared" si="15"/>
        <v>0</v>
      </c>
      <c r="DO12" s="106">
        <f t="shared" si="15"/>
        <v>0</v>
      </c>
      <c r="DP12" s="106">
        <f t="shared" si="15"/>
        <v>0</v>
      </c>
      <c r="DQ12" s="106">
        <f t="shared" si="15"/>
        <v>0</v>
      </c>
      <c r="DR12" s="106">
        <f t="shared" si="15"/>
        <v>0</v>
      </c>
      <c r="DS12" s="106">
        <f t="shared" si="15"/>
        <v>0</v>
      </c>
      <c r="DT12" s="106">
        <f t="shared" si="15"/>
        <v>0</v>
      </c>
      <c r="DU12" s="107">
        <f>SUM(DI12:DT12)</f>
        <v>0</v>
      </c>
      <c r="DV12" s="106" t="e">
        <f>SUM(DV10:DV11)</f>
        <v>#REF!</v>
      </c>
      <c r="DW12" s="107">
        <f>SUM(DW10:DW11)</f>
        <v>0</v>
      </c>
      <c r="DX12" s="106">
        <f>SUM(DX10:DX11)</f>
        <v>0</v>
      </c>
      <c r="DY12" s="107">
        <f>SUM(DY10:DY11)</f>
        <v>0</v>
      </c>
      <c r="DZ12"/>
    </row>
    <row r="13" spans="1:173" ht="12.4" customHeight="1" x14ac:dyDescent="0.2">
      <c r="A13"/>
      <c r="B13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55"/>
      <c r="P13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/>
      <c r="AD13" s="109"/>
      <c r="AE13" s="109"/>
      <c r="AF13" s="109"/>
      <c r="AG13" s="109"/>
      <c r="AH13"/>
      <c r="AI13"/>
      <c r="AJ13"/>
      <c r="AL13"/>
      <c r="AM13"/>
      <c r="AN13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CO13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55"/>
      <c r="DC13" s="109"/>
      <c r="DD13" s="109"/>
      <c r="DE13" s="109"/>
      <c r="DF13" s="109"/>
      <c r="DG13"/>
      <c r="DH13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10"/>
      <c r="DV13"/>
      <c r="DW13" s="109"/>
      <c r="DX13" s="109"/>
      <c r="DY13" s="109"/>
      <c r="DZ13"/>
    </row>
    <row r="14" spans="1:173" ht="12.4" customHeight="1" x14ac:dyDescent="0.2">
      <c r="A14" s="111"/>
      <c r="B14" s="112"/>
      <c r="C14" s="108"/>
      <c r="D14" s="10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P14" s="114"/>
      <c r="Q14" s="108"/>
      <c r="R14" s="108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  <c r="AD14" s="112"/>
      <c r="AE14" s="112"/>
      <c r="AF14" s="112"/>
      <c r="AG14" s="112"/>
      <c r="AH14"/>
      <c r="AI14"/>
      <c r="AJ14"/>
      <c r="AL14"/>
      <c r="AM14"/>
      <c r="AN14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CO14" s="112"/>
      <c r="CP14" s="108"/>
      <c r="CQ14" s="108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3"/>
      <c r="DC14" s="114"/>
      <c r="DD14" s="108"/>
      <c r="DE14" s="108"/>
      <c r="DF14" s="112"/>
      <c r="DG14"/>
      <c r="DH14" s="112"/>
      <c r="DI14" s="112"/>
      <c r="DJ14" s="112"/>
      <c r="DK14" s="112"/>
      <c r="DL14" s="112"/>
      <c r="DM14" s="112"/>
      <c r="DN14" s="112"/>
      <c r="DO14" s="112"/>
      <c r="DP14" s="115"/>
      <c r="DQ14" s="112"/>
      <c r="DR14" s="112"/>
      <c r="DS14" s="112"/>
      <c r="DT14" s="112"/>
      <c r="DV14" s="114"/>
      <c r="DW14" s="108"/>
      <c r="DX14" s="108"/>
      <c r="DY14" s="112"/>
      <c r="DZ14"/>
      <c r="EA14" s="116"/>
      <c r="EB14" s="116"/>
      <c r="EC14" s="116"/>
      <c r="ED14" s="116"/>
      <c r="EE14" s="116"/>
      <c r="EF14" s="116"/>
      <c r="EG14" s="116"/>
      <c r="EH14" s="116"/>
      <c r="EI14" s="114"/>
      <c r="EJ14" s="116"/>
      <c r="EK14" s="116"/>
      <c r="EL14" s="116"/>
      <c r="EM14" s="116"/>
    </row>
    <row r="15" spans="1:173" s="75" customFormat="1" ht="16.149999999999999" customHeight="1" x14ac:dyDescent="0.2">
      <c r="A15" s="76" t="e">
        <f>IF(PS_Nonprofit=TRUE,"Funding Forecast","Sales Forecast")</f>
        <v>#REF!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9"/>
      <c r="P15" s="80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9"/>
      <c r="AD15" s="77"/>
      <c r="AE15" s="117"/>
      <c r="AF15" s="77"/>
      <c r="AG15" s="117"/>
      <c r="AH15"/>
      <c r="AI15"/>
      <c r="AJ15"/>
      <c r="AL15"/>
      <c r="AM15"/>
      <c r="AN15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T15" s="1"/>
      <c r="BU15" s="1"/>
      <c r="BV15" s="1"/>
      <c r="BW15" s="1"/>
      <c r="BX15" s="1"/>
      <c r="BY15" s="1"/>
      <c r="BZ15" s="1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9"/>
      <c r="DC15" s="77"/>
      <c r="DD15" s="117"/>
      <c r="DE15" s="77"/>
      <c r="DF15" s="117"/>
      <c r="DG15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9"/>
      <c r="DV15" s="77"/>
      <c r="DW15" s="117"/>
      <c r="DX15" s="77"/>
      <c r="DY15" s="117"/>
      <c r="DZ15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</row>
    <row r="16" spans="1:173" ht="16.899999999999999" customHeight="1" thickBot="1" x14ac:dyDescent="0.25">
      <c r="A16" s="82"/>
      <c r="B16" s="9"/>
      <c r="C16" s="10" t="e">
        <f>IF(PS_DateSetting=1," Month 1",DATE(PS_StartingYear,PS_StartingMonth,15))</f>
        <v>#REF!</v>
      </c>
      <c r="D16" s="10" t="e">
        <f>IF(PS_DateSetting=1," Month 2",C16+30.4)</f>
        <v>#REF!</v>
      </c>
      <c r="E16" s="10" t="e">
        <f>IF(PS_DateSetting=1," Month 3",D16+30.4)</f>
        <v>#REF!</v>
      </c>
      <c r="F16" s="10" t="e">
        <f>IF(PS_DateSetting=1," Month 4",E16+30.4)</f>
        <v>#REF!</v>
      </c>
      <c r="G16" s="10" t="e">
        <f>IF(PS_DateSetting=1," Month 5",F16+30.4)</f>
        <v>#REF!</v>
      </c>
      <c r="H16" s="10" t="e">
        <f>IF(PS_DateSetting=1," Month 6",G16+30.4)</f>
        <v>#REF!</v>
      </c>
      <c r="I16" s="10" t="e">
        <f>IF(PS_DateSetting=1," Month 7",H16+30.4)</f>
        <v>#REF!</v>
      </c>
      <c r="J16" s="10" t="e">
        <f>IF(PS_DateSetting=1," Month 8",I16+30.4)</f>
        <v>#REF!</v>
      </c>
      <c r="K16" s="10" t="e">
        <f>IF(PS_DateSetting=1," Month 9",J16+30.4)</f>
        <v>#REF!</v>
      </c>
      <c r="L16" s="10" t="e">
        <f>IF(PS_DateSetting=1," Month 10",K16+30.4)</f>
        <v>#REF!</v>
      </c>
      <c r="M16" s="10" t="e">
        <f>IF(PS_DateSetting=1," Month 11",L16+30.4)</f>
        <v>#REF!</v>
      </c>
      <c r="N16" s="10" t="e">
        <f>IF(PS_DateSetting=1," Month 12",M16+30.4)</f>
        <v>#REF!</v>
      </c>
      <c r="O16" s="11" t="e">
        <f>IF(PS_DateSetting=1," Year 1",IF(PS_StartingMonth&gt;1,"FY "&amp;PS_StartingYear+1,PS_StartingYear))</f>
        <v>#REF!</v>
      </c>
      <c r="P16" s="12"/>
      <c r="Q16" s="10" t="e">
        <f>IF(PS_DateSetting=1," Month 13",DATE(PS_StartingYear,PS_StartingMonth,15))</f>
        <v>#REF!</v>
      </c>
      <c r="R16" s="10" t="e">
        <f>IF(PS_DateSetting=1," Month 14",Q16+30.4)</f>
        <v>#REF!</v>
      </c>
      <c r="S16" s="10" t="e">
        <f>IF(PS_DateSetting=1," Month 15",R16+30.4)</f>
        <v>#REF!</v>
      </c>
      <c r="T16" s="10" t="e">
        <f>IF(PS_DateSetting=1," Month 16",S16+30.4)</f>
        <v>#REF!</v>
      </c>
      <c r="U16" s="10" t="e">
        <f>IF(PS_DateSetting=1," Month 17",T16+30.4)</f>
        <v>#REF!</v>
      </c>
      <c r="V16" s="10" t="e">
        <f>IF(PS_DateSetting=1," Month 18",U16+30.4)</f>
        <v>#REF!</v>
      </c>
      <c r="W16" s="10" t="e">
        <f>IF(PS_DateSetting=1," Month 19",V16+30.4)</f>
        <v>#REF!</v>
      </c>
      <c r="X16" s="10" t="e">
        <f>IF(PS_DateSetting=1," Month 20",W16+30.4)</f>
        <v>#REF!</v>
      </c>
      <c r="Y16" s="10" t="e">
        <f>IF(PS_DateSetting=1," Month 21",X16+30.4)</f>
        <v>#REF!</v>
      </c>
      <c r="Z16" s="10" t="e">
        <f>IF(PS_DateSetting=1," Month 22",Y16+30.4)</f>
        <v>#REF!</v>
      </c>
      <c r="AA16" s="10" t="e">
        <f>IF(PS_DateSetting=1," Month 23",Z16+30.4)</f>
        <v>#REF!</v>
      </c>
      <c r="AB16" s="10" t="e">
        <f>IF(PS_DateSetting=1," Month 24",AA16+30.4)</f>
        <v>#REF!</v>
      </c>
      <c r="AC16" s="11" t="e">
        <f>IF(PS_DateSetting=1," Year 2",IF(PS_StartingMonth&gt;1,"FY "&amp;PS_StartingYear+2,PS_StartingYear+1))</f>
        <v>#REF!</v>
      </c>
      <c r="AD16" s="13" t="e">
        <f>IF(PS_DateSetting=1," Year 2",IF(PS_StartingMonth&gt;1,"FY "&amp;PS_StartingYear+2,PS_StartingYear+1))</f>
        <v>#REF!</v>
      </c>
      <c r="AE16" s="11" t="e">
        <f>IF(PS_DateSetting=1," Year 3",IF(PS_StartingMonth&gt;1,"FY "&amp;PS_StartingYear+3,PS_StartingYear+2))</f>
        <v>#REF!</v>
      </c>
      <c r="AF16" s="13" t="e">
        <f>IF(PS_DateSetting=1," Year 4",IF(PS_StartingMonth&gt;1,"FY "&amp;PS_StartingYear+4,PS_StartingYear+3))</f>
        <v>#REF!</v>
      </c>
      <c r="AG16" s="11" t="e">
        <f>IF(PS_DateSetting=1," Year 5",IF(PS_StartingMonth&gt;1,"FY "&amp;PS_StartingYear+5,PS_StartingYear+4))</f>
        <v>#REF!</v>
      </c>
      <c r="AH16"/>
      <c r="AI16"/>
      <c r="AJ16"/>
      <c r="AL16"/>
      <c r="AM16"/>
      <c r="AN16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T16" s="75"/>
      <c r="BU16" s="75"/>
      <c r="BV16" s="75"/>
      <c r="BW16" s="75"/>
      <c r="BX16" s="75"/>
      <c r="BY16" s="75"/>
      <c r="BZ16" s="75"/>
      <c r="CO16" s="9"/>
      <c r="CP16" s="10" t="e">
        <f>IF(PS_DateSetting=1," Month 1",DATE(PS_StartingYear,PS_StartingMonth,15))</f>
        <v>#REF!</v>
      </c>
      <c r="CQ16" s="10" t="e">
        <f>IF(PS_DateSetting=1," Month 2",CP16+30.4)</f>
        <v>#REF!</v>
      </c>
      <c r="CR16" s="10" t="e">
        <f>IF(PS_DateSetting=1," Month 3",CQ16+30.4)</f>
        <v>#REF!</v>
      </c>
      <c r="CS16" s="10" t="e">
        <f>IF(PS_DateSetting=1," Month 4",CR16+30.4)</f>
        <v>#REF!</v>
      </c>
      <c r="CT16" s="10" t="e">
        <f>IF(PS_DateSetting=1," Month 5",CS16+30.4)</f>
        <v>#REF!</v>
      </c>
      <c r="CU16" s="10" t="e">
        <f>IF(PS_DateSetting=1," Month 6",CT16+30.4)</f>
        <v>#REF!</v>
      </c>
      <c r="CV16" s="10" t="e">
        <f>IF(PS_DateSetting=1," Month 7",CU16+30.4)</f>
        <v>#REF!</v>
      </c>
      <c r="CW16" s="10" t="e">
        <f>IF(PS_DateSetting=1," Month 8",CV16+30.4)</f>
        <v>#REF!</v>
      </c>
      <c r="CX16" s="10" t="e">
        <f>IF(PS_DateSetting=1," Month 9",CW16+30.4)</f>
        <v>#REF!</v>
      </c>
      <c r="CY16" s="10" t="e">
        <f>IF(PS_DateSetting=1," Month 10",CX16+30.4)</f>
        <v>#REF!</v>
      </c>
      <c r="CZ16" s="10" t="e">
        <f>IF(PS_DateSetting=1," Month 11",CY16+30.4)</f>
        <v>#REF!</v>
      </c>
      <c r="DA16" s="10" t="e">
        <f>IF(PS_DateSetting=1," Month 12",CZ16+30.4)</f>
        <v>#REF!</v>
      </c>
      <c r="DB16" s="11" t="e">
        <f>IF(PS_DateSetting=1," Year 1",IF(PS_StartingMonth&gt;1,"FY "&amp;PS_StartingYear+1,PS_StartingYear))</f>
        <v>#REF!</v>
      </c>
      <c r="DC16" s="13" t="e">
        <f>IF(PS_DateSetting=1," Year 2",IF(PS_StartingMonth&gt;1,"FY "&amp;PS_StartingYear+2,PS_StartingYear+1))</f>
        <v>#REF!</v>
      </c>
      <c r="DD16" s="11" t="e">
        <f>IF(PS_DateSetting=1," Year 3",IF(PS_StartingMonth&gt;1,"FY "&amp;PS_StartingYear+3,PS_StartingYear+2))</f>
        <v>#REF!</v>
      </c>
      <c r="DE16" s="13" t="e">
        <f>IF(PS_DateSetting=1," Year 4",IF(PS_StartingMonth&gt;1,"FY "&amp;PS_StartingYear+4,PS_StartingYear+3))</f>
        <v>#REF!</v>
      </c>
      <c r="DF16" s="11" t="e">
        <f>IF(PS_DateSetting=1," Year 5",IF(PS_StartingMonth&gt;1,"FY "&amp;PS_StartingYear+5,PS_StartingYear+4))</f>
        <v>#REF!</v>
      </c>
      <c r="DG16"/>
      <c r="DH16" s="9"/>
      <c r="DI16" s="10" t="e">
        <f>IF(PS_DateSetting=1," Month 1",DATE(PS_StartingYear,PS_StartingMonth,15))</f>
        <v>#REF!</v>
      </c>
      <c r="DJ16" s="10" t="e">
        <f>IF(PS_DateSetting=1," Month 2",DI16+30.4)</f>
        <v>#REF!</v>
      </c>
      <c r="DK16" s="10" t="e">
        <f>IF(PS_DateSetting=1," Month 3",DJ16+30.4)</f>
        <v>#REF!</v>
      </c>
      <c r="DL16" s="10" t="e">
        <f>IF(PS_DateSetting=1," Month 4",DK16+30.4)</f>
        <v>#REF!</v>
      </c>
      <c r="DM16" s="10" t="e">
        <f>IF(PS_DateSetting=1," Month 5",DL16+30.4)</f>
        <v>#REF!</v>
      </c>
      <c r="DN16" s="10" t="e">
        <f>IF(PS_DateSetting=1," Month 6",DM16+30.4)</f>
        <v>#REF!</v>
      </c>
      <c r="DO16" s="10" t="e">
        <f>IF(PS_DateSetting=1," Month 7",DN16+30.4)</f>
        <v>#REF!</v>
      </c>
      <c r="DP16" s="10" t="e">
        <f>IF(PS_DateSetting=1," Month 8",DO16+30.4)</f>
        <v>#REF!</v>
      </c>
      <c r="DQ16" s="10" t="e">
        <f>IF(PS_DateSetting=1," Month 9",DP16+30.4)</f>
        <v>#REF!</v>
      </c>
      <c r="DR16" s="10" t="e">
        <f>IF(PS_DateSetting=1," Month 10",DQ16+30.4)</f>
        <v>#REF!</v>
      </c>
      <c r="DS16" s="10" t="e">
        <f>IF(PS_DateSetting=1," Month 11",DR16+30.4)</f>
        <v>#REF!</v>
      </c>
      <c r="DT16" s="10" t="e">
        <f>IF(PS_DateSetting=1," Month 12",DS16+30.4)</f>
        <v>#REF!</v>
      </c>
      <c r="DU16" s="11" t="e">
        <f>IF(PS_DateSetting=1," Year 1",IF(PS_StartingMonth&gt;1,"FY "&amp;PS_StartingYear+1,PS_StartingYear))</f>
        <v>#REF!</v>
      </c>
      <c r="DV16" s="13" t="e">
        <f>IF(PS_DateSetting=1," Year 2",IF(PS_StartingMonth&gt;1,"FY "&amp;PS_StartingYear+2,PS_StartingYear+1))</f>
        <v>#REF!</v>
      </c>
      <c r="DW16" s="11" t="e">
        <f>IF(PS_DateSetting=1," Year 3",IF(PS_StartingMonth&gt;1,"FY "&amp;PS_StartingYear+3,PS_StartingYear+2))</f>
        <v>#REF!</v>
      </c>
      <c r="DX16" s="13" t="e">
        <f>IF(PS_DateSetting=1," Year 4",IF(PS_StartingMonth&gt;1,"FY "&amp;PS_StartingYear+4,PS_StartingYear+3))</f>
        <v>#REF!</v>
      </c>
      <c r="DY16" s="11" t="e">
        <f>IF(PS_DateSetting=1," Year 5",IF(PS_StartingMonth&gt;1,"FY "&amp;PS_StartingYear+5,PS_StartingYear+4))</f>
        <v>#REF!</v>
      </c>
      <c r="DZ16"/>
    </row>
    <row r="17" spans="1:173" ht="16.899999999999999" customHeight="1" thickBot="1" x14ac:dyDescent="0.25">
      <c r="A17" s="83" t="e">
        <f>IF(PS_Nonprofit=TRUE,"Units","Unit Sales")</f>
        <v>#REF!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84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  <c r="AD17" s="87"/>
      <c r="AE17" s="86"/>
      <c r="AF17" s="87"/>
      <c r="AG17" s="86"/>
      <c r="AH17"/>
      <c r="AI17"/>
      <c r="AJ17"/>
      <c r="AL17"/>
      <c r="AM17"/>
      <c r="AN17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CO17" s="84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6"/>
      <c r="DC17" s="87"/>
      <c r="DD17" s="86"/>
      <c r="DE17" s="87"/>
      <c r="DF17" s="86"/>
      <c r="DG17"/>
      <c r="DH17" s="84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6"/>
      <c r="DV17" s="87"/>
      <c r="DW17" s="86"/>
      <c r="DX17" s="87"/>
      <c r="DY17" s="86"/>
      <c r="DZ17"/>
    </row>
    <row r="18" spans="1:173" ht="12.4" customHeight="1" x14ac:dyDescent="0.2">
      <c r="A18" s="501" t="s">
        <v>230</v>
      </c>
      <c r="B18" s="504"/>
      <c r="C18" s="594">
        <v>0</v>
      </c>
      <c r="D18" s="594">
        <v>0</v>
      </c>
      <c r="E18" s="594">
        <v>0</v>
      </c>
      <c r="F18" s="594">
        <v>0</v>
      </c>
      <c r="G18" s="594">
        <v>0</v>
      </c>
      <c r="H18" s="594">
        <v>0</v>
      </c>
      <c r="I18" s="594">
        <v>0</v>
      </c>
      <c r="J18" s="594">
        <v>0</v>
      </c>
      <c r="K18" s="594">
        <v>0</v>
      </c>
      <c r="L18" s="594">
        <v>0</v>
      </c>
      <c r="M18" s="594">
        <v>0</v>
      </c>
      <c r="N18" s="594">
        <v>0</v>
      </c>
      <c r="O18" s="595">
        <f>SUM(C18:N18)</f>
        <v>0</v>
      </c>
      <c r="P18" s="656">
        <v>0</v>
      </c>
      <c r="Q18" s="594">
        <v>0</v>
      </c>
      <c r="R18" s="596">
        <v>0</v>
      </c>
      <c r="S18" s="594">
        <v>0</v>
      </c>
      <c r="T18" s="594">
        <v>0</v>
      </c>
      <c r="U18" s="594">
        <v>0</v>
      </c>
      <c r="V18" s="597">
        <v>0</v>
      </c>
      <c r="W18" s="596">
        <v>0</v>
      </c>
      <c r="X18" s="596">
        <v>0</v>
      </c>
      <c r="Y18" s="596">
        <v>0</v>
      </c>
      <c r="Z18" s="594">
        <v>0</v>
      </c>
      <c r="AA18" s="594">
        <v>0</v>
      </c>
      <c r="AB18" s="594">
        <v>0</v>
      </c>
      <c r="AC18" s="595">
        <f>SUM(Q18:AB18)</f>
        <v>0</v>
      </c>
      <c r="AD18" s="598">
        <v>0</v>
      </c>
      <c r="AE18" s="599">
        <v>0</v>
      </c>
      <c r="AF18" s="598">
        <v>0</v>
      </c>
      <c r="AG18" s="599">
        <v>0</v>
      </c>
      <c r="AH18"/>
      <c r="AI18"/>
      <c r="AJ18"/>
      <c r="AL18"/>
      <c r="AM18"/>
      <c r="AN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CO18" s="504"/>
      <c r="CP18" s="594">
        <f t="shared" ref="CP18:DA20" si="16">C18</f>
        <v>0</v>
      </c>
      <c r="CQ18" s="594">
        <f t="shared" si="16"/>
        <v>0</v>
      </c>
      <c r="CR18" s="594">
        <f t="shared" si="16"/>
        <v>0</v>
      </c>
      <c r="CS18" s="594">
        <f t="shared" si="16"/>
        <v>0</v>
      </c>
      <c r="CT18" s="594">
        <f t="shared" si="16"/>
        <v>0</v>
      </c>
      <c r="CU18" s="594">
        <f t="shared" si="16"/>
        <v>0</v>
      </c>
      <c r="CV18" s="594">
        <f t="shared" si="16"/>
        <v>0</v>
      </c>
      <c r="CW18" s="594">
        <f t="shared" si="16"/>
        <v>0</v>
      </c>
      <c r="CX18" s="594">
        <f t="shared" si="16"/>
        <v>0</v>
      </c>
      <c r="CY18" s="594">
        <f t="shared" si="16"/>
        <v>0</v>
      </c>
      <c r="CZ18" s="594">
        <f t="shared" si="16"/>
        <v>0</v>
      </c>
      <c r="DA18" s="594">
        <f t="shared" si="16"/>
        <v>0</v>
      </c>
      <c r="DB18" s="595">
        <f>SUM(CP18:DA18)</f>
        <v>0</v>
      </c>
      <c r="DC18" s="598" t="e">
        <f>IF(PS_AnnualDetail,AC18,AD18)</f>
        <v>#REF!</v>
      </c>
      <c r="DD18" s="599">
        <f t="shared" ref="DD18:DF20" si="17">AE18</f>
        <v>0</v>
      </c>
      <c r="DE18" s="598">
        <f t="shared" si="17"/>
        <v>0</v>
      </c>
      <c r="DF18" s="599">
        <f t="shared" si="17"/>
        <v>0</v>
      </c>
      <c r="DG18"/>
      <c r="DH18" s="511"/>
      <c r="DI18" s="600">
        <f t="shared" ref="DI18:DT20" si="18">CP18-C18</f>
        <v>0</v>
      </c>
      <c r="DJ18" s="600">
        <f t="shared" si="18"/>
        <v>0</v>
      </c>
      <c r="DK18" s="600">
        <f t="shared" si="18"/>
        <v>0</v>
      </c>
      <c r="DL18" s="600">
        <f t="shared" si="18"/>
        <v>0</v>
      </c>
      <c r="DM18" s="600">
        <f t="shared" si="18"/>
        <v>0</v>
      </c>
      <c r="DN18" s="600">
        <f t="shared" si="18"/>
        <v>0</v>
      </c>
      <c r="DO18" s="600">
        <f t="shared" si="18"/>
        <v>0</v>
      </c>
      <c r="DP18" s="600">
        <f t="shared" si="18"/>
        <v>0</v>
      </c>
      <c r="DQ18" s="600">
        <f t="shared" si="18"/>
        <v>0</v>
      </c>
      <c r="DR18" s="600">
        <f t="shared" si="18"/>
        <v>0</v>
      </c>
      <c r="DS18" s="600">
        <f t="shared" si="18"/>
        <v>0</v>
      </c>
      <c r="DT18" s="600">
        <f t="shared" si="18"/>
        <v>0</v>
      </c>
      <c r="DU18" s="595">
        <f>SUM(DI18:DT18)</f>
        <v>0</v>
      </c>
      <c r="DV18" s="601" t="e">
        <f>DC18-IF(PS_AnnualDetail,AC18,AD18)</f>
        <v>#REF!</v>
      </c>
      <c r="DW18" s="602">
        <f t="shared" ref="DW18:DY20" si="19">DD18-AE18</f>
        <v>0</v>
      </c>
      <c r="DX18" s="600">
        <f t="shared" si="19"/>
        <v>0</v>
      </c>
      <c r="DY18" s="602">
        <f t="shared" si="19"/>
        <v>0</v>
      </c>
      <c r="DZ18"/>
    </row>
    <row r="19" spans="1:173" ht="12.4" customHeight="1" x14ac:dyDescent="0.2">
      <c r="A19" s="492" t="s">
        <v>131</v>
      </c>
      <c r="B19" s="512"/>
      <c r="C19" s="590">
        <v>0</v>
      </c>
      <c r="D19" s="590">
        <v>0</v>
      </c>
      <c r="E19" s="590">
        <v>0</v>
      </c>
      <c r="F19" s="590">
        <v>0</v>
      </c>
      <c r="G19" s="590">
        <v>0</v>
      </c>
      <c r="H19" s="590">
        <v>0</v>
      </c>
      <c r="I19" s="590">
        <v>0</v>
      </c>
      <c r="J19" s="590">
        <v>0</v>
      </c>
      <c r="K19" s="590">
        <v>0</v>
      </c>
      <c r="L19" s="590">
        <v>0</v>
      </c>
      <c r="M19" s="590">
        <v>0</v>
      </c>
      <c r="N19" s="590">
        <v>0</v>
      </c>
      <c r="O19" s="595">
        <f>SUM(C19:N19)</f>
        <v>0</v>
      </c>
      <c r="P19" s="657">
        <v>0</v>
      </c>
      <c r="Q19" s="591">
        <v>0</v>
      </c>
      <c r="R19" s="591">
        <v>0</v>
      </c>
      <c r="S19" s="591">
        <v>0</v>
      </c>
      <c r="T19" s="590">
        <v>0</v>
      </c>
      <c r="U19" s="590">
        <v>0</v>
      </c>
      <c r="V19" s="590">
        <v>0</v>
      </c>
      <c r="W19" s="590">
        <v>0</v>
      </c>
      <c r="X19" s="590">
        <v>0</v>
      </c>
      <c r="Y19" s="590">
        <v>0</v>
      </c>
      <c r="Z19" s="590">
        <v>0</v>
      </c>
      <c r="AA19" s="590">
        <v>0</v>
      </c>
      <c r="AB19" s="590">
        <v>0</v>
      </c>
      <c r="AC19" s="595">
        <f>SUM(Q19:AB19)</f>
        <v>0</v>
      </c>
      <c r="AD19" s="593">
        <v>0</v>
      </c>
      <c r="AE19" s="592">
        <v>0</v>
      </c>
      <c r="AF19" s="593">
        <v>0</v>
      </c>
      <c r="AG19" s="592">
        <v>0</v>
      </c>
      <c r="AH19"/>
      <c r="AI19"/>
      <c r="AJ19"/>
      <c r="AL19"/>
      <c r="AM19"/>
      <c r="AN19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CO19" s="505"/>
      <c r="CP19" s="590">
        <f t="shared" si="16"/>
        <v>0</v>
      </c>
      <c r="CQ19" s="590">
        <f t="shared" si="16"/>
        <v>0</v>
      </c>
      <c r="CR19" s="590">
        <f t="shared" si="16"/>
        <v>0</v>
      </c>
      <c r="CS19" s="590">
        <f t="shared" si="16"/>
        <v>0</v>
      </c>
      <c r="CT19" s="590">
        <f t="shared" si="16"/>
        <v>0</v>
      </c>
      <c r="CU19" s="590">
        <f t="shared" si="16"/>
        <v>0</v>
      </c>
      <c r="CV19" s="590">
        <f t="shared" si="16"/>
        <v>0</v>
      </c>
      <c r="CW19" s="590">
        <f t="shared" si="16"/>
        <v>0</v>
      </c>
      <c r="CX19" s="590">
        <f t="shared" si="16"/>
        <v>0</v>
      </c>
      <c r="CY19" s="590">
        <f t="shared" si="16"/>
        <v>0</v>
      </c>
      <c r="CZ19" s="590">
        <f t="shared" si="16"/>
        <v>0</v>
      </c>
      <c r="DA19" s="590">
        <f t="shared" si="16"/>
        <v>0</v>
      </c>
      <c r="DB19" s="595">
        <f>SUM(CP19:DA19)</f>
        <v>0</v>
      </c>
      <c r="DC19" s="593" t="e">
        <f>IF(PS_AnnualDetail,AC19,AD19)</f>
        <v>#REF!</v>
      </c>
      <c r="DD19" s="592">
        <f t="shared" si="17"/>
        <v>0</v>
      </c>
      <c r="DE19" s="593">
        <f t="shared" si="17"/>
        <v>0</v>
      </c>
      <c r="DF19" s="592">
        <f t="shared" si="17"/>
        <v>0</v>
      </c>
      <c r="DG19"/>
      <c r="DH19" s="513"/>
      <c r="DI19" s="603">
        <f t="shared" si="18"/>
        <v>0</v>
      </c>
      <c r="DJ19" s="603">
        <f t="shared" si="18"/>
        <v>0</v>
      </c>
      <c r="DK19" s="603">
        <f t="shared" si="18"/>
        <v>0</v>
      </c>
      <c r="DL19" s="603">
        <f t="shared" si="18"/>
        <v>0</v>
      </c>
      <c r="DM19" s="603">
        <f t="shared" si="18"/>
        <v>0</v>
      </c>
      <c r="DN19" s="603">
        <f t="shared" si="18"/>
        <v>0</v>
      </c>
      <c r="DO19" s="603">
        <f t="shared" si="18"/>
        <v>0</v>
      </c>
      <c r="DP19" s="603">
        <f t="shared" si="18"/>
        <v>0</v>
      </c>
      <c r="DQ19" s="603">
        <f t="shared" si="18"/>
        <v>0</v>
      </c>
      <c r="DR19" s="603">
        <f t="shared" si="18"/>
        <v>0</v>
      </c>
      <c r="DS19" s="603">
        <f t="shared" si="18"/>
        <v>0</v>
      </c>
      <c r="DT19" s="603">
        <f t="shared" si="18"/>
        <v>0</v>
      </c>
      <c r="DU19" s="595">
        <f>SUM(DI19:DT19)</f>
        <v>0</v>
      </c>
      <c r="DV19" s="604" t="e">
        <f>DC19-IF(PS_AnnualDetail,AC19,AD19)</f>
        <v>#REF!</v>
      </c>
      <c r="DW19" s="595">
        <f t="shared" si="19"/>
        <v>0</v>
      </c>
      <c r="DX19" s="603">
        <f t="shared" si="19"/>
        <v>0</v>
      </c>
      <c r="DY19" s="595">
        <f t="shared" si="19"/>
        <v>0</v>
      </c>
      <c r="DZ19"/>
    </row>
    <row r="20" spans="1:173" ht="13.15" customHeight="1" thickBot="1" x14ac:dyDescent="0.25">
      <c r="A20" s="507" t="s">
        <v>22</v>
      </c>
      <c r="B20" s="510"/>
      <c r="C20" s="605">
        <v>0</v>
      </c>
      <c r="D20" s="605">
        <v>0</v>
      </c>
      <c r="E20" s="605">
        <v>0</v>
      </c>
      <c r="F20" s="605">
        <v>0</v>
      </c>
      <c r="G20" s="605">
        <v>0</v>
      </c>
      <c r="H20" s="605">
        <v>0</v>
      </c>
      <c r="I20" s="605">
        <v>0</v>
      </c>
      <c r="J20" s="605">
        <v>0</v>
      </c>
      <c r="K20" s="605">
        <v>0</v>
      </c>
      <c r="L20" s="605">
        <v>0</v>
      </c>
      <c r="M20" s="605">
        <v>0</v>
      </c>
      <c r="N20" s="605">
        <v>0</v>
      </c>
      <c r="O20" s="595">
        <f>SUM(C20:N20)</f>
        <v>0</v>
      </c>
      <c r="P20" s="658">
        <v>0</v>
      </c>
      <c r="Q20" s="605">
        <v>0</v>
      </c>
      <c r="R20" s="606">
        <v>0</v>
      </c>
      <c r="S20" s="605">
        <v>0</v>
      </c>
      <c r="T20" s="607">
        <v>0</v>
      </c>
      <c r="U20" s="607">
        <v>0</v>
      </c>
      <c r="V20" s="607">
        <v>0</v>
      </c>
      <c r="W20" s="605">
        <v>0</v>
      </c>
      <c r="X20" s="605">
        <v>0</v>
      </c>
      <c r="Y20" s="605">
        <v>0</v>
      </c>
      <c r="Z20" s="605">
        <v>0</v>
      </c>
      <c r="AA20" s="605">
        <v>0</v>
      </c>
      <c r="AB20" s="605">
        <v>0</v>
      </c>
      <c r="AC20" s="595">
        <f>SUM(Q20:AB20)</f>
        <v>0</v>
      </c>
      <c r="AD20" s="608">
        <v>0</v>
      </c>
      <c r="AE20" s="609">
        <v>0</v>
      </c>
      <c r="AF20" s="608">
        <v>0</v>
      </c>
      <c r="AG20" s="609">
        <v>0</v>
      </c>
      <c r="AH20"/>
      <c r="AI20"/>
      <c r="AJ20"/>
      <c r="AL20"/>
      <c r="AM20"/>
      <c r="AN20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CO20" s="510"/>
      <c r="CP20" s="605">
        <f t="shared" si="16"/>
        <v>0</v>
      </c>
      <c r="CQ20" s="605">
        <f t="shared" si="16"/>
        <v>0</v>
      </c>
      <c r="CR20" s="605">
        <f t="shared" si="16"/>
        <v>0</v>
      </c>
      <c r="CS20" s="605">
        <f t="shared" si="16"/>
        <v>0</v>
      </c>
      <c r="CT20" s="605">
        <f t="shared" si="16"/>
        <v>0</v>
      </c>
      <c r="CU20" s="605">
        <f t="shared" si="16"/>
        <v>0</v>
      </c>
      <c r="CV20" s="605">
        <f t="shared" si="16"/>
        <v>0</v>
      </c>
      <c r="CW20" s="605">
        <f t="shared" si="16"/>
        <v>0</v>
      </c>
      <c r="CX20" s="605">
        <f t="shared" si="16"/>
        <v>0</v>
      </c>
      <c r="CY20" s="605">
        <f t="shared" si="16"/>
        <v>0</v>
      </c>
      <c r="CZ20" s="605">
        <f t="shared" si="16"/>
        <v>0</v>
      </c>
      <c r="DA20" s="605">
        <f t="shared" si="16"/>
        <v>0</v>
      </c>
      <c r="DB20" s="595">
        <f>SUM(CP20:DA20)</f>
        <v>0</v>
      </c>
      <c r="DC20" s="608" t="e">
        <f>IF(PS_AnnualDetail,AC20,AD20)</f>
        <v>#REF!</v>
      </c>
      <c r="DD20" s="609">
        <f t="shared" si="17"/>
        <v>0</v>
      </c>
      <c r="DE20" s="608">
        <f t="shared" si="17"/>
        <v>0</v>
      </c>
      <c r="DF20" s="609">
        <f t="shared" si="17"/>
        <v>0</v>
      </c>
      <c r="DG20"/>
      <c r="DH20" s="514"/>
      <c r="DI20" s="610">
        <f t="shared" si="18"/>
        <v>0</v>
      </c>
      <c r="DJ20" s="610">
        <f t="shared" si="18"/>
        <v>0</v>
      </c>
      <c r="DK20" s="610">
        <f t="shared" si="18"/>
        <v>0</v>
      </c>
      <c r="DL20" s="610">
        <f t="shared" si="18"/>
        <v>0</v>
      </c>
      <c r="DM20" s="610">
        <f t="shared" si="18"/>
        <v>0</v>
      </c>
      <c r="DN20" s="610">
        <f t="shared" si="18"/>
        <v>0</v>
      </c>
      <c r="DO20" s="610">
        <f t="shared" si="18"/>
        <v>0</v>
      </c>
      <c r="DP20" s="610">
        <f t="shared" si="18"/>
        <v>0</v>
      </c>
      <c r="DQ20" s="610">
        <f t="shared" si="18"/>
        <v>0</v>
      </c>
      <c r="DR20" s="610">
        <f t="shared" si="18"/>
        <v>0</v>
      </c>
      <c r="DS20" s="610">
        <f t="shared" si="18"/>
        <v>0</v>
      </c>
      <c r="DT20" s="610">
        <f t="shared" si="18"/>
        <v>0</v>
      </c>
      <c r="DU20" s="595">
        <f>SUM(DI20:DT20)</f>
        <v>0</v>
      </c>
      <c r="DV20" s="611" t="e">
        <f>DC20-IF(PS_AnnualDetail,AC20,AD20)</f>
        <v>#REF!</v>
      </c>
      <c r="DW20" s="612">
        <f t="shared" si="19"/>
        <v>0</v>
      </c>
      <c r="DX20" s="610">
        <f t="shared" si="19"/>
        <v>0</v>
      </c>
      <c r="DY20" s="612">
        <f t="shared" si="19"/>
        <v>0</v>
      </c>
      <c r="DZ20"/>
    </row>
    <row r="21" spans="1:173" ht="12.4" customHeight="1" x14ac:dyDescent="0.2">
      <c r="A21" s="98" t="e">
        <f>IF(PS_Nonprofit=TRUE,"Total Units","Total Unit Sales")</f>
        <v>#REF!</v>
      </c>
      <c r="B21" s="99"/>
      <c r="C21" s="613">
        <f t="shared" ref="C21:O21" si="20">ROUND(SUM(C18:C20),0)</f>
        <v>0</v>
      </c>
      <c r="D21" s="613">
        <f t="shared" si="20"/>
        <v>0</v>
      </c>
      <c r="E21" s="613">
        <f t="shared" si="20"/>
        <v>0</v>
      </c>
      <c r="F21" s="613">
        <f t="shared" si="20"/>
        <v>0</v>
      </c>
      <c r="G21" s="613">
        <f t="shared" si="20"/>
        <v>0</v>
      </c>
      <c r="H21" s="613">
        <f t="shared" si="20"/>
        <v>0</v>
      </c>
      <c r="I21" s="613">
        <f t="shared" si="20"/>
        <v>0</v>
      </c>
      <c r="J21" s="613">
        <f t="shared" si="20"/>
        <v>0</v>
      </c>
      <c r="K21" s="613">
        <f t="shared" si="20"/>
        <v>0</v>
      </c>
      <c r="L21" s="613">
        <f t="shared" si="20"/>
        <v>0</v>
      </c>
      <c r="M21" s="613">
        <f t="shared" si="20"/>
        <v>0</v>
      </c>
      <c r="N21" s="613">
        <f t="shared" si="20"/>
        <v>0</v>
      </c>
      <c r="O21" s="614">
        <f t="shared" si="20"/>
        <v>0</v>
      </c>
      <c r="P21" s="119"/>
      <c r="Q21" s="613">
        <f t="shared" ref="Q21:AG21" si="21">ROUND(SUM(Q18:Q20),0)</f>
        <v>0</v>
      </c>
      <c r="R21" s="613">
        <f t="shared" si="21"/>
        <v>0</v>
      </c>
      <c r="S21" s="613">
        <f t="shared" si="21"/>
        <v>0</v>
      </c>
      <c r="T21" s="613">
        <f t="shared" si="21"/>
        <v>0</v>
      </c>
      <c r="U21" s="613">
        <f t="shared" si="21"/>
        <v>0</v>
      </c>
      <c r="V21" s="613">
        <f t="shared" si="21"/>
        <v>0</v>
      </c>
      <c r="W21" s="613">
        <f t="shared" si="21"/>
        <v>0</v>
      </c>
      <c r="X21" s="613">
        <f t="shared" si="21"/>
        <v>0</v>
      </c>
      <c r="Y21" s="613">
        <f t="shared" si="21"/>
        <v>0</v>
      </c>
      <c r="Z21" s="613">
        <f t="shared" si="21"/>
        <v>0</v>
      </c>
      <c r="AA21" s="613">
        <f t="shared" si="21"/>
        <v>0</v>
      </c>
      <c r="AB21" s="613">
        <f t="shared" si="21"/>
        <v>0</v>
      </c>
      <c r="AC21" s="614">
        <f t="shared" si="21"/>
        <v>0</v>
      </c>
      <c r="AD21" s="615">
        <f t="shared" si="21"/>
        <v>0</v>
      </c>
      <c r="AE21" s="616">
        <f t="shared" si="21"/>
        <v>0</v>
      </c>
      <c r="AF21" s="615">
        <f t="shared" si="21"/>
        <v>0</v>
      </c>
      <c r="AG21" s="616">
        <f t="shared" si="21"/>
        <v>0</v>
      </c>
      <c r="AH21"/>
      <c r="AI21"/>
      <c r="AJ21"/>
      <c r="AL21"/>
      <c r="AM21"/>
      <c r="AN21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CO21" s="99"/>
      <c r="CP21" s="613">
        <f t="shared" ref="CP21:DF21" si="22">ROUND(SUM(CP18:CP20),0)</f>
        <v>0</v>
      </c>
      <c r="CQ21" s="613">
        <f t="shared" si="22"/>
        <v>0</v>
      </c>
      <c r="CR21" s="613">
        <f t="shared" si="22"/>
        <v>0</v>
      </c>
      <c r="CS21" s="613">
        <f t="shared" si="22"/>
        <v>0</v>
      </c>
      <c r="CT21" s="613">
        <f t="shared" si="22"/>
        <v>0</v>
      </c>
      <c r="CU21" s="613">
        <f t="shared" si="22"/>
        <v>0</v>
      </c>
      <c r="CV21" s="613">
        <f t="shared" si="22"/>
        <v>0</v>
      </c>
      <c r="CW21" s="613">
        <f t="shared" si="22"/>
        <v>0</v>
      </c>
      <c r="CX21" s="613">
        <f t="shared" si="22"/>
        <v>0</v>
      </c>
      <c r="CY21" s="613">
        <f t="shared" si="22"/>
        <v>0</v>
      </c>
      <c r="CZ21" s="613">
        <f t="shared" si="22"/>
        <v>0</v>
      </c>
      <c r="DA21" s="613">
        <f t="shared" si="22"/>
        <v>0</v>
      </c>
      <c r="DB21" s="614">
        <f t="shared" si="22"/>
        <v>0</v>
      </c>
      <c r="DC21" s="613" t="e">
        <f t="shared" si="22"/>
        <v>#REF!</v>
      </c>
      <c r="DD21" s="614">
        <f t="shared" si="22"/>
        <v>0</v>
      </c>
      <c r="DE21" s="613">
        <f t="shared" si="22"/>
        <v>0</v>
      </c>
      <c r="DF21" s="614">
        <f t="shared" si="22"/>
        <v>0</v>
      </c>
      <c r="DG21"/>
      <c r="DH21" s="99"/>
      <c r="DI21" s="613">
        <f t="shared" ref="DI21:DY21" si="23">ROUND(SUM(DI18:DI20),0)</f>
        <v>0</v>
      </c>
      <c r="DJ21" s="613">
        <f t="shared" si="23"/>
        <v>0</v>
      </c>
      <c r="DK21" s="613">
        <f t="shared" si="23"/>
        <v>0</v>
      </c>
      <c r="DL21" s="613">
        <f t="shared" si="23"/>
        <v>0</v>
      </c>
      <c r="DM21" s="613">
        <f t="shared" si="23"/>
        <v>0</v>
      </c>
      <c r="DN21" s="613">
        <f t="shared" si="23"/>
        <v>0</v>
      </c>
      <c r="DO21" s="613">
        <f t="shared" si="23"/>
        <v>0</v>
      </c>
      <c r="DP21" s="613">
        <f t="shared" si="23"/>
        <v>0</v>
      </c>
      <c r="DQ21" s="613">
        <f t="shared" si="23"/>
        <v>0</v>
      </c>
      <c r="DR21" s="613">
        <f t="shared" si="23"/>
        <v>0</v>
      </c>
      <c r="DS21" s="613">
        <f t="shared" si="23"/>
        <v>0</v>
      </c>
      <c r="DT21" s="613">
        <f t="shared" si="23"/>
        <v>0</v>
      </c>
      <c r="DU21" s="614">
        <f t="shared" si="23"/>
        <v>0</v>
      </c>
      <c r="DV21" s="613" t="e">
        <f t="shared" si="23"/>
        <v>#REF!</v>
      </c>
      <c r="DW21" s="614">
        <f t="shared" si="23"/>
        <v>0</v>
      </c>
      <c r="DX21" s="613">
        <f t="shared" si="23"/>
        <v>0</v>
      </c>
      <c r="DY21" s="614">
        <f t="shared" si="23"/>
        <v>0</v>
      </c>
      <c r="DZ21"/>
    </row>
    <row r="22" spans="1:173" ht="12.4" customHeight="1" x14ac:dyDescent="0.2">
      <c r="A22" s="101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55"/>
      <c r="P22" s="120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55"/>
      <c r="AD22" s="109"/>
      <c r="AE22" s="57"/>
      <c r="AF22" s="109"/>
      <c r="AG22" s="57"/>
      <c r="AH22"/>
      <c r="AI22"/>
      <c r="AJ22"/>
      <c r="AL22"/>
      <c r="AM22"/>
      <c r="AN22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55"/>
      <c r="DC22" s="109"/>
      <c r="DD22" s="57"/>
      <c r="DE22" s="109"/>
      <c r="DF22" s="57"/>
      <c r="DG22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55"/>
      <c r="DV22" s="109"/>
      <c r="DW22" s="57"/>
      <c r="DX22" s="109"/>
      <c r="DY22" s="57"/>
      <c r="DZ22"/>
    </row>
    <row r="23" spans="1:173" ht="16.899999999999999" customHeight="1" thickBot="1" x14ac:dyDescent="0.25">
      <c r="A23" s="83" t="s">
        <v>122</v>
      </c>
      <c r="B23" s="84"/>
      <c r="C23" s="85" t="e">
        <f>IF(PS_DateSetting=1," Month 1",DATE(PS_StartingYear,PS_StartingMonth,15))</f>
        <v>#REF!</v>
      </c>
      <c r="D23" s="85" t="e">
        <f>IF(PS_DateSetting=1," Month 2",C23+30.4)</f>
        <v>#REF!</v>
      </c>
      <c r="E23" s="85" t="e">
        <f>IF(PS_DateSetting=1," Month 3",D23+30.4)</f>
        <v>#REF!</v>
      </c>
      <c r="F23" s="85" t="e">
        <f>IF(PS_DateSetting=1," Month 4",E23+30.4)</f>
        <v>#REF!</v>
      </c>
      <c r="G23" s="85" t="e">
        <f>IF(PS_DateSetting=1," Month 5",F23+30.4)</f>
        <v>#REF!</v>
      </c>
      <c r="H23" s="85" t="e">
        <f>IF(PS_DateSetting=1," Month 6",G23+30.4)</f>
        <v>#REF!</v>
      </c>
      <c r="I23" s="85" t="e">
        <f>IF(PS_DateSetting=1," Month 7",H23+30.4)</f>
        <v>#REF!</v>
      </c>
      <c r="J23" s="85" t="e">
        <f>IF(PS_DateSetting=1," Month 8",I23+30.4)</f>
        <v>#REF!</v>
      </c>
      <c r="K23" s="85" t="e">
        <f>IF(PS_DateSetting=1," Month 9",J23+30.4)</f>
        <v>#REF!</v>
      </c>
      <c r="L23" s="85" t="e">
        <f>IF(PS_DateSetting=1," Month 10",K23+30.4)</f>
        <v>#REF!</v>
      </c>
      <c r="M23" s="85" t="e">
        <f>IF(PS_DateSetting=1," Month 11",L23+30.4)</f>
        <v>#REF!</v>
      </c>
      <c r="N23" s="85" t="e">
        <f>IF(PS_DateSetting=1," Month 12",M23+30.4)</f>
        <v>#REF!</v>
      </c>
      <c r="O23" s="86" t="e">
        <f>IF(PS_DateSetting=1," Year 1",IF(PS_StartingMonth&gt;1,"FY "&amp;PS_StartingYear+1,PS_StartingYear))</f>
        <v>#REF!</v>
      </c>
      <c r="P23" s="84"/>
      <c r="Q23" s="85" t="e">
        <f>IF(PS_DateSetting=1," Month 13",DATE(PS_StartingYear,PS_StartingMonth,15))</f>
        <v>#REF!</v>
      </c>
      <c r="R23" s="85" t="e">
        <f>IF(PS_DateSetting=1," Month 14",Q23+30.4)</f>
        <v>#REF!</v>
      </c>
      <c r="S23" s="85" t="e">
        <f>IF(PS_DateSetting=1," Month 15",R23+30.4)</f>
        <v>#REF!</v>
      </c>
      <c r="T23" s="85" t="e">
        <f>IF(PS_DateSetting=1," Month 16",S23+30.4)</f>
        <v>#REF!</v>
      </c>
      <c r="U23" s="85" t="e">
        <f>IF(PS_DateSetting=1," Month 17",T23+30.4)</f>
        <v>#REF!</v>
      </c>
      <c r="V23" s="85" t="e">
        <f>IF(PS_DateSetting=1," Month 18",U23+30.4)</f>
        <v>#REF!</v>
      </c>
      <c r="W23" s="85" t="e">
        <f>IF(PS_DateSetting=1," Month 19",V23+30.4)</f>
        <v>#REF!</v>
      </c>
      <c r="X23" s="85" t="e">
        <f>IF(PS_DateSetting=1," Month 20",W23+30.4)</f>
        <v>#REF!</v>
      </c>
      <c r="Y23" s="85" t="e">
        <f>IF(PS_DateSetting=1," Month 21",X23+30.4)</f>
        <v>#REF!</v>
      </c>
      <c r="Z23" s="85" t="e">
        <f>IF(PS_DateSetting=1," Month 22",Y23+30.4)</f>
        <v>#REF!</v>
      </c>
      <c r="AA23" s="85" t="e">
        <f>IF(PS_DateSetting=1," Month 23",Z23+30.4)</f>
        <v>#REF!</v>
      </c>
      <c r="AB23" s="85" t="e">
        <f>IF(PS_DateSetting=1," Month 24",AA23+30.4)</f>
        <v>#REF!</v>
      </c>
      <c r="AC23" s="86" t="e">
        <f>IF(PS_DateSetting=1," Year 2",IF(PS_StartingMonth&gt;1,"FY "&amp;PS_StartingYear+2,PS_StartingYear+1))</f>
        <v>#REF!</v>
      </c>
      <c r="AD23" s="87" t="e">
        <f>IF(PS_DateSetting=1," Year 2",IF(PS_StartingMonth&gt;1,"FY "&amp;PS_StartingYear+2,PS_StartingYear+1))</f>
        <v>#REF!</v>
      </c>
      <c r="AE23" s="86" t="e">
        <f>IF(PS_DateSetting=1," Year 3",IF(PS_StartingMonth&gt;1,"FY "&amp;PS_StartingYear+3,PS_StartingYear+2))</f>
        <v>#REF!</v>
      </c>
      <c r="AF23" s="87" t="e">
        <f>IF(PS_DateSetting=1," Year 4",IF(PS_StartingMonth&gt;1,"FY "&amp;PS_StartingYear+4,PS_StartingYear+3))</f>
        <v>#REF!</v>
      </c>
      <c r="AG23" s="86" t="e">
        <f>IF(PS_DateSetting=1," Year 5",IF(PS_StartingMonth&gt;1,"FY "&amp;PS_StartingYear+5,PS_StartingYear+4))</f>
        <v>#REF!</v>
      </c>
      <c r="AH23"/>
      <c r="AI23"/>
      <c r="AJ23"/>
      <c r="AL23"/>
      <c r="AM23"/>
      <c r="AN23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CO23" s="84"/>
      <c r="CP23" s="85" t="e">
        <f>IF(PS_DateSetting=1," Month 1",DATE(PS_StartingYear,PS_StartingMonth,15))</f>
        <v>#REF!</v>
      </c>
      <c r="CQ23" s="85" t="e">
        <f>IF(PS_DateSetting=1," Month 2",CP23+30.4)</f>
        <v>#REF!</v>
      </c>
      <c r="CR23" s="85" t="e">
        <f>IF(PS_DateSetting=1," Month 3",CQ23+30.4)</f>
        <v>#REF!</v>
      </c>
      <c r="CS23" s="85" t="e">
        <f>IF(PS_DateSetting=1," Month 4",CR23+30.4)</f>
        <v>#REF!</v>
      </c>
      <c r="CT23" s="85" t="e">
        <f>IF(PS_DateSetting=1," Month 5",CS23+30.4)</f>
        <v>#REF!</v>
      </c>
      <c r="CU23" s="85" t="e">
        <f>IF(PS_DateSetting=1," Month 6",CT23+30.4)</f>
        <v>#REF!</v>
      </c>
      <c r="CV23" s="85" t="e">
        <f>IF(PS_DateSetting=1," Month 7",CU23+30.4)</f>
        <v>#REF!</v>
      </c>
      <c r="CW23" s="85" t="e">
        <f>IF(PS_DateSetting=1," Month 8",CV23+30.4)</f>
        <v>#REF!</v>
      </c>
      <c r="CX23" s="85" t="e">
        <f>IF(PS_DateSetting=1," Month 9",CW23+30.4)</f>
        <v>#REF!</v>
      </c>
      <c r="CY23" s="85" t="e">
        <f>IF(PS_DateSetting=1," Month 10",CX23+30.4)</f>
        <v>#REF!</v>
      </c>
      <c r="CZ23" s="85" t="e">
        <f>IF(PS_DateSetting=1," Month 11",CY23+30.4)</f>
        <v>#REF!</v>
      </c>
      <c r="DA23" s="85" t="e">
        <f>IF(PS_DateSetting=1," Month 12",CZ23+30.4)</f>
        <v>#REF!</v>
      </c>
      <c r="DB23" s="86" t="e">
        <f>IF(PS_DateSetting=1," Year 1",IF(PS_StartingMonth&gt;1,"FY "&amp;PS_StartingYear+1,PS_StartingYear))</f>
        <v>#REF!</v>
      </c>
      <c r="DC23" s="87" t="e">
        <f>IF(PS_DateSetting=1," Year 2",IF(PS_StartingMonth&gt;1,"FY "&amp;PS_StartingYear+2,PS_StartingYear+1))</f>
        <v>#REF!</v>
      </c>
      <c r="DD23" s="86" t="e">
        <f>IF(PS_DateSetting=1," Year 3",IF(PS_StartingMonth&gt;1,"FY "&amp;PS_StartingYear+3,PS_StartingYear+2))</f>
        <v>#REF!</v>
      </c>
      <c r="DE23" s="87" t="e">
        <f>IF(PS_DateSetting=1," Year 4",IF(PS_StartingMonth&gt;1,"FY "&amp;PS_StartingYear+4,PS_StartingYear+3))</f>
        <v>#REF!</v>
      </c>
      <c r="DF23" s="86" t="e">
        <f>IF(PS_DateSetting=1," Year 5",IF(PS_StartingMonth&gt;1,"FY "&amp;PS_StartingYear+5,PS_StartingYear+4))</f>
        <v>#REF!</v>
      </c>
      <c r="DG23"/>
      <c r="DH23" s="84"/>
      <c r="DI23" s="85" t="e">
        <f>IF(PS_DateSetting=1," Month 1",DATE(PS_StartingYear,PS_StartingMonth,15))</f>
        <v>#REF!</v>
      </c>
      <c r="DJ23" s="85" t="e">
        <f>IF(PS_DateSetting=1," Month 2",DI23+30.4)</f>
        <v>#REF!</v>
      </c>
      <c r="DK23" s="85" t="e">
        <f>IF(PS_DateSetting=1," Month 3",DJ23+30.4)</f>
        <v>#REF!</v>
      </c>
      <c r="DL23" s="85" t="e">
        <f>IF(PS_DateSetting=1," Month 4",DK23+30.4)</f>
        <v>#REF!</v>
      </c>
      <c r="DM23" s="85" t="e">
        <f>IF(PS_DateSetting=1," Month 5",DL23+30.4)</f>
        <v>#REF!</v>
      </c>
      <c r="DN23" s="85" t="e">
        <f>IF(PS_DateSetting=1," Month 6",DM23+30.4)</f>
        <v>#REF!</v>
      </c>
      <c r="DO23" s="85" t="e">
        <f>IF(PS_DateSetting=1," Month 7",DN23+30.4)</f>
        <v>#REF!</v>
      </c>
      <c r="DP23" s="85" t="e">
        <f>IF(PS_DateSetting=1," Month 8",DO23+30.4)</f>
        <v>#REF!</v>
      </c>
      <c r="DQ23" s="85" t="e">
        <f>IF(PS_DateSetting=1," Month 9",DP23+30.4)</f>
        <v>#REF!</v>
      </c>
      <c r="DR23" s="85" t="e">
        <f>IF(PS_DateSetting=1," Month 10",DQ23+30.4)</f>
        <v>#REF!</v>
      </c>
      <c r="DS23" s="85" t="e">
        <f>IF(PS_DateSetting=1," Month 11",DR23+30.4)</f>
        <v>#REF!</v>
      </c>
      <c r="DT23" s="85" t="e">
        <f>IF(PS_DateSetting=1," Month 12",DS23+30.4)</f>
        <v>#REF!</v>
      </c>
      <c r="DU23" s="86" t="e">
        <f>IF(PS_DateSetting=1," Year 1",IF(PS_StartingMonth&gt;1,"FY "&amp;PS_StartingYear+1,PS_StartingYear))</f>
        <v>#REF!</v>
      </c>
      <c r="DV23" s="87" t="e">
        <f>IF(PS_DateSetting=1," Year 2",IF(PS_StartingMonth&gt;1,"FY "&amp;PS_StartingYear+2,PS_StartingYear+1))</f>
        <v>#REF!</v>
      </c>
      <c r="DW23" s="86" t="e">
        <f>IF(PS_DateSetting=1," Year 3",IF(PS_StartingMonth&gt;1,"FY "&amp;PS_StartingYear+3,PS_StartingYear+2))</f>
        <v>#REF!</v>
      </c>
      <c r="DX23" s="87" t="e">
        <f>IF(PS_DateSetting=1," Year 4",IF(PS_StartingMonth&gt;1,"FY "&amp;PS_StartingYear+4,PS_StartingYear+3))</f>
        <v>#REF!</v>
      </c>
      <c r="DY23" s="86" t="e">
        <f>IF(PS_DateSetting=1," Year 5",IF(PS_StartingMonth&gt;1,"FY "&amp;PS_StartingYear+5,PS_StartingYear+4))</f>
        <v>#REF!</v>
      </c>
      <c r="DZ23"/>
    </row>
    <row r="24" spans="1:173" ht="12.4" customHeight="1" x14ac:dyDescent="0.2">
      <c r="A24" s="101" t="str">
        <f>A18</f>
        <v>Row 1</v>
      </c>
      <c r="B24" s="515" t="s">
        <v>89</v>
      </c>
      <c r="C24" s="515">
        <v>0</v>
      </c>
      <c r="D24" s="515">
        <f t="shared" ref="D24:N26" si="24">C24</f>
        <v>0</v>
      </c>
      <c r="E24" s="515">
        <f t="shared" si="24"/>
        <v>0</v>
      </c>
      <c r="F24" s="515">
        <f t="shared" si="24"/>
        <v>0</v>
      </c>
      <c r="G24" s="515">
        <f t="shared" si="24"/>
        <v>0</v>
      </c>
      <c r="H24" s="515">
        <f t="shared" si="24"/>
        <v>0</v>
      </c>
      <c r="I24" s="515">
        <f t="shared" si="24"/>
        <v>0</v>
      </c>
      <c r="J24" s="515">
        <f t="shared" si="24"/>
        <v>0</v>
      </c>
      <c r="K24" s="515">
        <f t="shared" si="24"/>
        <v>0</v>
      </c>
      <c r="L24" s="515">
        <f t="shared" si="24"/>
        <v>0</v>
      </c>
      <c r="M24" s="516">
        <f t="shared" si="24"/>
        <v>0</v>
      </c>
      <c r="N24" s="515">
        <f t="shared" si="24"/>
        <v>0</v>
      </c>
      <c r="O24" s="121">
        <f>IF(O18&lt;&gt;0,O29/O18,0)</f>
        <v>0</v>
      </c>
      <c r="P24" s="503" t="s">
        <v>89</v>
      </c>
      <c r="Q24" s="516">
        <f>O24</f>
        <v>0</v>
      </c>
      <c r="R24" s="516">
        <f t="shared" ref="R24:AB26" si="25">Q24</f>
        <v>0</v>
      </c>
      <c r="S24" s="515">
        <f t="shared" si="25"/>
        <v>0</v>
      </c>
      <c r="T24" s="515">
        <f t="shared" si="25"/>
        <v>0</v>
      </c>
      <c r="U24" s="515">
        <f t="shared" si="25"/>
        <v>0</v>
      </c>
      <c r="V24" s="515">
        <f t="shared" si="25"/>
        <v>0</v>
      </c>
      <c r="W24" s="515">
        <f t="shared" si="25"/>
        <v>0</v>
      </c>
      <c r="X24" s="516">
        <f t="shared" si="25"/>
        <v>0</v>
      </c>
      <c r="Y24" s="515">
        <f t="shared" si="25"/>
        <v>0</v>
      </c>
      <c r="Z24" s="515">
        <f t="shared" si="25"/>
        <v>0</v>
      </c>
      <c r="AA24" s="515">
        <f t="shared" si="25"/>
        <v>0</v>
      </c>
      <c r="AB24" s="516">
        <f t="shared" si="25"/>
        <v>0</v>
      </c>
      <c r="AC24" s="121">
        <f>IF(AC18&lt;&gt;0,AC29/AC18,0)</f>
        <v>0</v>
      </c>
      <c r="AD24" s="517">
        <f>O24</f>
        <v>0</v>
      </c>
      <c r="AE24" s="493" t="e">
        <f>IF(PS_AnnualDetail,AC24,AD24)</f>
        <v>#REF!</v>
      </c>
      <c r="AF24" s="517" t="e">
        <f t="shared" ref="AF24:AG26" si="26">AE24</f>
        <v>#REF!</v>
      </c>
      <c r="AG24" s="493" t="e">
        <f t="shared" si="26"/>
        <v>#REF!</v>
      </c>
      <c r="AH24"/>
      <c r="AI24"/>
      <c r="AJ24"/>
      <c r="AL24"/>
      <c r="AM24"/>
      <c r="AN24"/>
      <c r="AO24" s="18"/>
      <c r="AP24" s="18"/>
      <c r="AQ24" s="18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CO24" s="122" t="s">
        <v>89</v>
      </c>
      <c r="CP24" s="122">
        <f t="shared" ref="CP24:DF26" si="27">IF(CP18&lt;&gt;0,CP29/CP18,0)</f>
        <v>0</v>
      </c>
      <c r="CQ24" s="122">
        <f t="shared" si="27"/>
        <v>0</v>
      </c>
      <c r="CR24" s="122">
        <f t="shared" si="27"/>
        <v>0</v>
      </c>
      <c r="CS24" s="122">
        <f t="shared" si="27"/>
        <v>0</v>
      </c>
      <c r="CT24" s="122">
        <f t="shared" si="27"/>
        <v>0</v>
      </c>
      <c r="CU24" s="122">
        <f t="shared" si="27"/>
        <v>0</v>
      </c>
      <c r="CV24" s="122">
        <f t="shared" si="27"/>
        <v>0</v>
      </c>
      <c r="CW24" s="122">
        <f t="shared" si="27"/>
        <v>0</v>
      </c>
      <c r="CX24" s="122">
        <f t="shared" si="27"/>
        <v>0</v>
      </c>
      <c r="CY24" s="122">
        <f t="shared" si="27"/>
        <v>0</v>
      </c>
      <c r="CZ24" s="122">
        <f t="shared" si="27"/>
        <v>0</v>
      </c>
      <c r="DA24" s="122">
        <f t="shared" si="27"/>
        <v>0</v>
      </c>
      <c r="DB24" s="123">
        <f t="shared" si="27"/>
        <v>0</v>
      </c>
      <c r="DC24" s="122" t="e">
        <f t="shared" si="27"/>
        <v>#REF!</v>
      </c>
      <c r="DD24" s="123">
        <f t="shared" si="27"/>
        <v>0</v>
      </c>
      <c r="DE24" s="122">
        <f t="shared" si="27"/>
        <v>0</v>
      </c>
      <c r="DF24" s="123">
        <f t="shared" si="27"/>
        <v>0</v>
      </c>
      <c r="DG24"/>
      <c r="DH24" s="122" t="s">
        <v>89</v>
      </c>
      <c r="DI24" s="122">
        <f t="shared" ref="DI24:DT26" si="28">CP24-C24</f>
        <v>0</v>
      </c>
      <c r="DJ24" s="122">
        <f t="shared" si="28"/>
        <v>0</v>
      </c>
      <c r="DK24" s="122">
        <f t="shared" si="28"/>
        <v>0</v>
      </c>
      <c r="DL24" s="122">
        <f t="shared" si="28"/>
        <v>0</v>
      </c>
      <c r="DM24" s="122">
        <f t="shared" si="28"/>
        <v>0</v>
      </c>
      <c r="DN24" s="122">
        <f t="shared" si="28"/>
        <v>0</v>
      </c>
      <c r="DO24" s="122">
        <f t="shared" si="28"/>
        <v>0</v>
      </c>
      <c r="DP24" s="122">
        <f t="shared" si="28"/>
        <v>0</v>
      </c>
      <c r="DQ24" s="122">
        <f t="shared" si="28"/>
        <v>0</v>
      </c>
      <c r="DR24" s="122">
        <f t="shared" si="28"/>
        <v>0</v>
      </c>
      <c r="DS24" s="122">
        <f t="shared" si="28"/>
        <v>0</v>
      </c>
      <c r="DT24" s="122">
        <f t="shared" si="28"/>
        <v>0</v>
      </c>
      <c r="DU24" s="121">
        <f>SUM(DI24:DT24)</f>
        <v>0</v>
      </c>
      <c r="DV24" s="124" t="e">
        <f>DC24-IF(PS_AnnualDetail,AC24,AD24)</f>
        <v>#REF!</v>
      </c>
      <c r="DW24" s="123" t="e">
        <f t="shared" ref="DW24:DY26" si="29">DD24-AE24</f>
        <v>#REF!</v>
      </c>
      <c r="DX24" s="122" t="e">
        <f t="shared" si="29"/>
        <v>#REF!</v>
      </c>
      <c r="DY24" s="123" t="e">
        <f t="shared" si="29"/>
        <v>#REF!</v>
      </c>
      <c r="DZ24"/>
    </row>
    <row r="25" spans="1:173" ht="12.4" customHeight="1" x14ac:dyDescent="0.2">
      <c r="A25" s="101" t="str">
        <f>A19</f>
        <v>Row 2</v>
      </c>
      <c r="B25" s="518" t="s">
        <v>89</v>
      </c>
      <c r="C25" s="518">
        <v>0</v>
      </c>
      <c r="D25" s="518">
        <f t="shared" si="24"/>
        <v>0</v>
      </c>
      <c r="E25" s="518">
        <f t="shared" si="24"/>
        <v>0</v>
      </c>
      <c r="F25" s="518">
        <f t="shared" si="24"/>
        <v>0</v>
      </c>
      <c r="G25" s="518">
        <f t="shared" si="24"/>
        <v>0</v>
      </c>
      <c r="H25" s="518">
        <f t="shared" si="24"/>
        <v>0</v>
      </c>
      <c r="I25" s="518">
        <f t="shared" si="24"/>
        <v>0</v>
      </c>
      <c r="J25" s="518">
        <f t="shared" si="24"/>
        <v>0</v>
      </c>
      <c r="K25" s="518">
        <f t="shared" si="24"/>
        <v>0</v>
      </c>
      <c r="L25" s="519">
        <f t="shared" si="24"/>
        <v>0</v>
      </c>
      <c r="M25" s="519">
        <f t="shared" si="24"/>
        <v>0</v>
      </c>
      <c r="N25" s="519">
        <f t="shared" si="24"/>
        <v>0</v>
      </c>
      <c r="O25" s="121">
        <f>IF(O19&lt;&gt;0,O30/O19,0)</f>
        <v>0</v>
      </c>
      <c r="P25" s="506" t="s">
        <v>89</v>
      </c>
      <c r="Q25" s="519">
        <f>O25</f>
        <v>0</v>
      </c>
      <c r="R25" s="519">
        <f t="shared" si="25"/>
        <v>0</v>
      </c>
      <c r="S25" s="518">
        <f t="shared" si="25"/>
        <v>0</v>
      </c>
      <c r="T25" s="518">
        <f t="shared" si="25"/>
        <v>0</v>
      </c>
      <c r="U25" s="518">
        <f t="shared" si="25"/>
        <v>0</v>
      </c>
      <c r="V25" s="518">
        <f t="shared" si="25"/>
        <v>0</v>
      </c>
      <c r="W25" s="518">
        <f t="shared" si="25"/>
        <v>0</v>
      </c>
      <c r="X25" s="518">
        <f t="shared" si="25"/>
        <v>0</v>
      </c>
      <c r="Y25" s="518">
        <f t="shared" si="25"/>
        <v>0</v>
      </c>
      <c r="Z25" s="518">
        <f t="shared" si="25"/>
        <v>0</v>
      </c>
      <c r="AA25" s="518">
        <f t="shared" si="25"/>
        <v>0</v>
      </c>
      <c r="AB25" s="519">
        <f t="shared" si="25"/>
        <v>0</v>
      </c>
      <c r="AC25" s="121">
        <f>IF(AC19&lt;&gt;0,AC30/AC19,0)</f>
        <v>0</v>
      </c>
      <c r="AD25" s="520">
        <f>O25</f>
        <v>0</v>
      </c>
      <c r="AE25" s="494" t="e">
        <f>IF(PS_AnnualDetail,AC25,AD25)</f>
        <v>#REF!</v>
      </c>
      <c r="AF25" s="520" t="e">
        <f t="shared" si="26"/>
        <v>#REF!</v>
      </c>
      <c r="AG25" s="494" t="e">
        <f t="shared" si="26"/>
        <v>#REF!</v>
      </c>
      <c r="AH25"/>
      <c r="AI25"/>
      <c r="AJ25"/>
      <c r="AL25"/>
      <c r="AM25"/>
      <c r="AN25"/>
      <c r="AO25" s="18"/>
      <c r="AP25" s="18"/>
      <c r="AQ25" s="18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CO25" s="125" t="s">
        <v>89</v>
      </c>
      <c r="CP25" s="125">
        <f t="shared" si="27"/>
        <v>0</v>
      </c>
      <c r="CQ25" s="125">
        <f t="shared" si="27"/>
        <v>0</v>
      </c>
      <c r="CR25" s="125">
        <f t="shared" si="27"/>
        <v>0</v>
      </c>
      <c r="CS25" s="125">
        <f t="shared" si="27"/>
        <v>0</v>
      </c>
      <c r="CT25" s="125">
        <f t="shared" si="27"/>
        <v>0</v>
      </c>
      <c r="CU25" s="125">
        <f t="shared" si="27"/>
        <v>0</v>
      </c>
      <c r="CV25" s="125">
        <f t="shared" si="27"/>
        <v>0</v>
      </c>
      <c r="CW25" s="125">
        <f t="shared" si="27"/>
        <v>0</v>
      </c>
      <c r="CX25" s="125">
        <f t="shared" si="27"/>
        <v>0</v>
      </c>
      <c r="CY25" s="125">
        <f t="shared" si="27"/>
        <v>0</v>
      </c>
      <c r="CZ25" s="125">
        <f t="shared" si="27"/>
        <v>0</v>
      </c>
      <c r="DA25" s="125">
        <f t="shared" si="27"/>
        <v>0</v>
      </c>
      <c r="DB25" s="126">
        <f t="shared" si="27"/>
        <v>0</v>
      </c>
      <c r="DC25" s="125" t="e">
        <f t="shared" si="27"/>
        <v>#REF!</v>
      </c>
      <c r="DD25" s="126">
        <f t="shared" si="27"/>
        <v>0</v>
      </c>
      <c r="DE25" s="125">
        <f t="shared" si="27"/>
        <v>0</v>
      </c>
      <c r="DF25" s="126">
        <f t="shared" si="27"/>
        <v>0</v>
      </c>
      <c r="DG25"/>
      <c r="DH25" s="125" t="s">
        <v>89</v>
      </c>
      <c r="DI25" s="125">
        <f t="shared" si="28"/>
        <v>0</v>
      </c>
      <c r="DJ25" s="125">
        <f t="shared" si="28"/>
        <v>0</v>
      </c>
      <c r="DK25" s="125">
        <f t="shared" si="28"/>
        <v>0</v>
      </c>
      <c r="DL25" s="125">
        <f t="shared" si="28"/>
        <v>0</v>
      </c>
      <c r="DM25" s="125">
        <f t="shared" si="28"/>
        <v>0</v>
      </c>
      <c r="DN25" s="125">
        <f t="shared" si="28"/>
        <v>0</v>
      </c>
      <c r="DO25" s="125">
        <f t="shared" si="28"/>
        <v>0</v>
      </c>
      <c r="DP25" s="125">
        <f t="shared" si="28"/>
        <v>0</v>
      </c>
      <c r="DQ25" s="125">
        <f t="shared" si="28"/>
        <v>0</v>
      </c>
      <c r="DR25" s="125">
        <f t="shared" si="28"/>
        <v>0</v>
      </c>
      <c r="DS25" s="125">
        <f t="shared" si="28"/>
        <v>0</v>
      </c>
      <c r="DT25" s="125">
        <f t="shared" si="28"/>
        <v>0</v>
      </c>
      <c r="DU25" s="121">
        <f>SUM(DI25:DT25)</f>
        <v>0</v>
      </c>
      <c r="DV25" s="127" t="e">
        <f>DC25-IF(PS_AnnualDetail,AC25,AD25)</f>
        <v>#REF!</v>
      </c>
      <c r="DW25" s="126" t="e">
        <f t="shared" si="29"/>
        <v>#REF!</v>
      </c>
      <c r="DX25" s="125" t="e">
        <f t="shared" si="29"/>
        <v>#REF!</v>
      </c>
      <c r="DY25" s="126" t="e">
        <f t="shared" si="29"/>
        <v>#REF!</v>
      </c>
      <c r="DZ25"/>
    </row>
    <row r="26" spans="1:173" ht="12.4" customHeight="1" x14ac:dyDescent="0.2">
      <c r="A26" s="128" t="str">
        <f>A20</f>
        <v>Row 3</v>
      </c>
      <c r="B26" s="518" t="s">
        <v>89</v>
      </c>
      <c r="C26" s="518">
        <v>0</v>
      </c>
      <c r="D26" s="518">
        <f t="shared" si="24"/>
        <v>0</v>
      </c>
      <c r="E26" s="518">
        <f t="shared" si="24"/>
        <v>0</v>
      </c>
      <c r="F26" s="518">
        <f t="shared" si="24"/>
        <v>0</v>
      </c>
      <c r="G26" s="518">
        <f t="shared" si="24"/>
        <v>0</v>
      </c>
      <c r="H26" s="518">
        <f t="shared" si="24"/>
        <v>0</v>
      </c>
      <c r="I26" s="518">
        <f t="shared" si="24"/>
        <v>0</v>
      </c>
      <c r="J26" s="518">
        <f t="shared" si="24"/>
        <v>0</v>
      </c>
      <c r="K26" s="518">
        <f t="shared" si="24"/>
        <v>0</v>
      </c>
      <c r="L26" s="518">
        <f t="shared" si="24"/>
        <v>0</v>
      </c>
      <c r="M26" s="519">
        <f t="shared" si="24"/>
        <v>0</v>
      </c>
      <c r="N26" s="518">
        <f t="shared" si="24"/>
        <v>0</v>
      </c>
      <c r="O26" s="121">
        <f>IF(O20&lt;&gt;0,O31/O20,0)</f>
        <v>0</v>
      </c>
      <c r="P26" s="506" t="s">
        <v>89</v>
      </c>
      <c r="Q26" s="519">
        <f>O26</f>
        <v>0</v>
      </c>
      <c r="R26" s="519">
        <f t="shared" si="25"/>
        <v>0</v>
      </c>
      <c r="S26" s="518">
        <f t="shared" si="25"/>
        <v>0</v>
      </c>
      <c r="T26" s="518">
        <f t="shared" si="25"/>
        <v>0</v>
      </c>
      <c r="U26" s="518">
        <f t="shared" si="25"/>
        <v>0</v>
      </c>
      <c r="V26" s="518">
        <f t="shared" si="25"/>
        <v>0</v>
      </c>
      <c r="W26" s="518">
        <f t="shared" si="25"/>
        <v>0</v>
      </c>
      <c r="X26" s="518">
        <f t="shared" si="25"/>
        <v>0</v>
      </c>
      <c r="Y26" s="518">
        <f t="shared" si="25"/>
        <v>0</v>
      </c>
      <c r="Z26" s="518">
        <f t="shared" si="25"/>
        <v>0</v>
      </c>
      <c r="AA26" s="518">
        <f t="shared" si="25"/>
        <v>0</v>
      </c>
      <c r="AB26" s="519">
        <f t="shared" si="25"/>
        <v>0</v>
      </c>
      <c r="AC26" s="121">
        <f>IF(AC20&lt;&gt;0,AC31/AC20,0)</f>
        <v>0</v>
      </c>
      <c r="AD26" s="520">
        <f>O26</f>
        <v>0</v>
      </c>
      <c r="AE26" s="494" t="e">
        <f>IF(PS_AnnualDetail,AC26,AD26)</f>
        <v>#REF!</v>
      </c>
      <c r="AF26" s="520" t="e">
        <f t="shared" si="26"/>
        <v>#REF!</v>
      </c>
      <c r="AG26" s="494" t="e">
        <f t="shared" si="26"/>
        <v>#REF!</v>
      </c>
      <c r="AH26"/>
      <c r="AI26"/>
      <c r="AJ26"/>
      <c r="AL26"/>
      <c r="AM26"/>
      <c r="AN26"/>
      <c r="AO26" s="18"/>
      <c r="AP26" s="18"/>
      <c r="AQ26" s="18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CO26" s="125" t="s">
        <v>89</v>
      </c>
      <c r="CP26" s="125">
        <f t="shared" si="27"/>
        <v>0</v>
      </c>
      <c r="CQ26" s="125">
        <f t="shared" si="27"/>
        <v>0</v>
      </c>
      <c r="CR26" s="125">
        <f t="shared" si="27"/>
        <v>0</v>
      </c>
      <c r="CS26" s="125">
        <f t="shared" si="27"/>
        <v>0</v>
      </c>
      <c r="CT26" s="125">
        <f t="shared" si="27"/>
        <v>0</v>
      </c>
      <c r="CU26" s="125">
        <f t="shared" si="27"/>
        <v>0</v>
      </c>
      <c r="CV26" s="125">
        <f t="shared" si="27"/>
        <v>0</v>
      </c>
      <c r="CW26" s="125">
        <f t="shared" si="27"/>
        <v>0</v>
      </c>
      <c r="CX26" s="125">
        <f t="shared" si="27"/>
        <v>0</v>
      </c>
      <c r="CY26" s="125">
        <f t="shared" si="27"/>
        <v>0</v>
      </c>
      <c r="CZ26" s="125">
        <f t="shared" si="27"/>
        <v>0</v>
      </c>
      <c r="DA26" s="125">
        <f t="shared" si="27"/>
        <v>0</v>
      </c>
      <c r="DB26" s="126">
        <f t="shared" si="27"/>
        <v>0</v>
      </c>
      <c r="DC26" s="125" t="e">
        <f t="shared" si="27"/>
        <v>#REF!</v>
      </c>
      <c r="DD26" s="126">
        <f t="shared" si="27"/>
        <v>0</v>
      </c>
      <c r="DE26" s="125">
        <f t="shared" si="27"/>
        <v>0</v>
      </c>
      <c r="DF26" s="126">
        <f t="shared" si="27"/>
        <v>0</v>
      </c>
      <c r="DG26"/>
      <c r="DH26" s="125" t="s">
        <v>89</v>
      </c>
      <c r="DI26" s="125">
        <f t="shared" si="28"/>
        <v>0</v>
      </c>
      <c r="DJ26" s="125">
        <f t="shared" si="28"/>
        <v>0</v>
      </c>
      <c r="DK26" s="125">
        <f t="shared" si="28"/>
        <v>0</v>
      </c>
      <c r="DL26" s="125">
        <f t="shared" si="28"/>
        <v>0</v>
      </c>
      <c r="DM26" s="125">
        <f t="shared" si="28"/>
        <v>0</v>
      </c>
      <c r="DN26" s="125">
        <f t="shared" si="28"/>
        <v>0</v>
      </c>
      <c r="DO26" s="125">
        <f t="shared" si="28"/>
        <v>0</v>
      </c>
      <c r="DP26" s="125">
        <f t="shared" si="28"/>
        <v>0</v>
      </c>
      <c r="DQ26" s="125">
        <f t="shared" si="28"/>
        <v>0</v>
      </c>
      <c r="DR26" s="125">
        <f t="shared" si="28"/>
        <v>0</v>
      </c>
      <c r="DS26" s="125">
        <f t="shared" si="28"/>
        <v>0</v>
      </c>
      <c r="DT26" s="125">
        <f t="shared" si="28"/>
        <v>0</v>
      </c>
      <c r="DU26" s="121">
        <f>SUM(DI26:DT26)</f>
        <v>0</v>
      </c>
      <c r="DV26" s="127" t="e">
        <f>DC26-IF(PS_AnnualDetail,AC26,AD26)</f>
        <v>#REF!</v>
      </c>
      <c r="DW26" s="126" t="e">
        <f t="shared" si="29"/>
        <v>#REF!</v>
      </c>
      <c r="DX26" s="125" t="e">
        <f t="shared" si="29"/>
        <v>#REF!</v>
      </c>
      <c r="DY26" s="126" t="e">
        <f t="shared" si="29"/>
        <v>#REF!</v>
      </c>
      <c r="DZ26"/>
    </row>
    <row r="27" spans="1:173" ht="13.15" customHeight="1" x14ac:dyDescent="0.2">
      <c r="A27" s="101"/>
      <c r="B27" s="109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55"/>
      <c r="P27" s="120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55"/>
      <c r="AD27" s="102"/>
      <c r="AE27" s="103"/>
      <c r="AF27" s="102"/>
      <c r="AG27" s="103"/>
      <c r="AH27"/>
      <c r="AI27"/>
      <c r="AJ27"/>
      <c r="AL27"/>
      <c r="AM27"/>
      <c r="AN27"/>
      <c r="AO27" s="18"/>
      <c r="AP27" s="18"/>
      <c r="AQ27" s="18"/>
      <c r="AR27"/>
      <c r="AS27" s="18"/>
      <c r="AT27" s="18"/>
      <c r="AU27" s="18"/>
      <c r="AV27" s="18"/>
      <c r="AW27" s="18"/>
      <c r="AX27" s="18"/>
      <c r="AY27" s="18"/>
      <c r="AZ27" s="18"/>
      <c r="CO27" s="109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55"/>
      <c r="DC27" s="102"/>
      <c r="DD27" s="103"/>
      <c r="DE27" s="102"/>
      <c r="DF27" s="103"/>
      <c r="DG27"/>
      <c r="DH27" s="109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55"/>
      <c r="DV27" s="102"/>
      <c r="DW27" s="103"/>
      <c r="DX27" s="102"/>
      <c r="DY27" s="103"/>
      <c r="DZ27"/>
    </row>
    <row r="28" spans="1:173" ht="16.899999999999999" customHeight="1" thickBot="1" x14ac:dyDescent="0.25">
      <c r="A28" s="83" t="e">
        <f>IF(PS_Nonprofit=TRUE,"Funding","Sales")</f>
        <v>#REF!</v>
      </c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84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6"/>
      <c r="AD28" s="87"/>
      <c r="AE28" s="86"/>
      <c r="AF28" s="87"/>
      <c r="AG28" s="86"/>
      <c r="AH28"/>
      <c r="AI28"/>
      <c r="AJ28"/>
      <c r="AL28"/>
      <c r="AM28"/>
      <c r="AN2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CA28"/>
      <c r="CB28"/>
      <c r="CC28"/>
      <c r="CD28"/>
      <c r="CE28"/>
      <c r="CF28"/>
      <c r="CG28"/>
      <c r="CH28"/>
      <c r="CI28"/>
      <c r="CJ28"/>
      <c r="CK28"/>
      <c r="CL28"/>
      <c r="CM28"/>
      <c r="CO28" s="84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6"/>
      <c r="DC28" s="87"/>
      <c r="DD28" s="86"/>
      <c r="DE28" s="87"/>
      <c r="DF28" s="86"/>
      <c r="DG28"/>
      <c r="DH28" s="84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6"/>
      <c r="DV28" s="87"/>
      <c r="DW28" s="86"/>
      <c r="DX28" s="87"/>
      <c r="DY28" s="86"/>
      <c r="DZ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 s="579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</row>
    <row r="29" spans="1:173" ht="12.4" customHeight="1" x14ac:dyDescent="0.2">
      <c r="A29" s="101" t="str">
        <f>A18</f>
        <v>Row 1</v>
      </c>
      <c r="B29" s="521"/>
      <c r="C29" s="102">
        <f t="shared" ref="C29:N31" si="30">C18*C24</f>
        <v>0</v>
      </c>
      <c r="D29" s="102">
        <f t="shared" si="30"/>
        <v>0</v>
      </c>
      <c r="E29" s="102">
        <f t="shared" si="30"/>
        <v>0</v>
      </c>
      <c r="F29" s="102">
        <f t="shared" si="30"/>
        <v>0</v>
      </c>
      <c r="G29" s="102">
        <f t="shared" si="30"/>
        <v>0</v>
      </c>
      <c r="H29" s="102">
        <f t="shared" si="30"/>
        <v>0</v>
      </c>
      <c r="I29" s="102">
        <f t="shared" si="30"/>
        <v>0</v>
      </c>
      <c r="J29" s="102">
        <f t="shared" si="30"/>
        <v>0</v>
      </c>
      <c r="K29" s="102">
        <f t="shared" si="30"/>
        <v>0</v>
      </c>
      <c r="L29" s="102">
        <f t="shared" si="30"/>
        <v>0</v>
      </c>
      <c r="M29" s="102">
        <f t="shared" si="30"/>
        <v>0</v>
      </c>
      <c r="N29" s="102">
        <f t="shared" si="30"/>
        <v>0</v>
      </c>
      <c r="O29" s="103">
        <f>SUM(C29:N29)</f>
        <v>0</v>
      </c>
      <c r="P29" s="102"/>
      <c r="Q29" s="102">
        <f t="shared" ref="Q29:AB31" si="31">Q18*Q24</f>
        <v>0</v>
      </c>
      <c r="R29" s="102">
        <f t="shared" si="31"/>
        <v>0</v>
      </c>
      <c r="S29" s="102">
        <f t="shared" si="31"/>
        <v>0</v>
      </c>
      <c r="T29" s="102">
        <f t="shared" si="31"/>
        <v>0</v>
      </c>
      <c r="U29" s="102">
        <f t="shared" si="31"/>
        <v>0</v>
      </c>
      <c r="V29" s="102">
        <f t="shared" si="31"/>
        <v>0</v>
      </c>
      <c r="W29" s="102">
        <f t="shared" si="31"/>
        <v>0</v>
      </c>
      <c r="X29" s="102">
        <f t="shared" si="31"/>
        <v>0</v>
      </c>
      <c r="Y29" s="102">
        <f t="shared" si="31"/>
        <v>0</v>
      </c>
      <c r="Z29" s="102">
        <f t="shared" si="31"/>
        <v>0</v>
      </c>
      <c r="AA29" s="102">
        <f t="shared" si="31"/>
        <v>0</v>
      </c>
      <c r="AB29" s="102">
        <f t="shared" si="31"/>
        <v>0</v>
      </c>
      <c r="AC29" s="103">
        <f>SUM(Q29:AB29)</f>
        <v>0</v>
      </c>
      <c r="AD29" s="102">
        <f t="shared" ref="AD29:AG31" si="32">AD18*AD24</f>
        <v>0</v>
      </c>
      <c r="AE29" s="103" t="e">
        <f t="shared" si="32"/>
        <v>#REF!</v>
      </c>
      <c r="AF29" s="102" t="e">
        <f t="shared" si="32"/>
        <v>#REF!</v>
      </c>
      <c r="AG29" s="103" t="e">
        <f t="shared" si="32"/>
        <v>#REF!</v>
      </c>
      <c r="AH29"/>
      <c r="AI29"/>
      <c r="AJ29"/>
      <c r="AL29"/>
      <c r="AM29"/>
      <c r="AN29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CA29"/>
      <c r="CB29"/>
      <c r="CC29"/>
      <c r="CD29"/>
      <c r="CE29"/>
      <c r="CF29"/>
      <c r="CG29"/>
      <c r="CH29"/>
      <c r="CI29"/>
      <c r="CJ29"/>
      <c r="CK29"/>
      <c r="CL29"/>
      <c r="CM29"/>
      <c r="CO29" s="504" t="s">
        <v>89</v>
      </c>
      <c r="CP29" s="479">
        <f t="shared" ref="CP29:DA31" si="33">C29</f>
        <v>0</v>
      </c>
      <c r="CQ29" s="479">
        <f t="shared" si="33"/>
        <v>0</v>
      </c>
      <c r="CR29" s="479">
        <f t="shared" si="33"/>
        <v>0</v>
      </c>
      <c r="CS29" s="479">
        <f t="shared" si="33"/>
        <v>0</v>
      </c>
      <c r="CT29" s="479">
        <f t="shared" si="33"/>
        <v>0</v>
      </c>
      <c r="CU29" s="479">
        <f t="shared" si="33"/>
        <v>0</v>
      </c>
      <c r="CV29" s="479">
        <f t="shared" si="33"/>
        <v>0</v>
      </c>
      <c r="CW29" s="479">
        <f t="shared" si="33"/>
        <v>0</v>
      </c>
      <c r="CX29" s="479">
        <f t="shared" si="33"/>
        <v>0</v>
      </c>
      <c r="CY29" s="479">
        <f t="shared" si="33"/>
        <v>0</v>
      </c>
      <c r="CZ29" s="479">
        <f t="shared" si="33"/>
        <v>0</v>
      </c>
      <c r="DA29" s="479">
        <f t="shared" si="33"/>
        <v>0</v>
      </c>
      <c r="DB29" s="460">
        <f>SUM(CP29:DA29)</f>
        <v>0</v>
      </c>
      <c r="DC29" s="480" t="e">
        <f>IF(PS_AnnualDetail,AC29,AD29)</f>
        <v>#REF!</v>
      </c>
      <c r="DD29" s="481" t="e">
        <f t="shared" ref="DD29:DF31" si="34">AE29</f>
        <v>#REF!</v>
      </c>
      <c r="DE29" s="480" t="e">
        <f t="shared" si="34"/>
        <v>#REF!</v>
      </c>
      <c r="DF29" s="481" t="e">
        <f t="shared" si="34"/>
        <v>#REF!</v>
      </c>
      <c r="DG29"/>
      <c r="DH29" s="521"/>
      <c r="DI29" s="93">
        <f t="shared" ref="DI29:DT31" si="35">CP29-C29</f>
        <v>0</v>
      </c>
      <c r="DJ29" s="93">
        <f t="shared" si="35"/>
        <v>0</v>
      </c>
      <c r="DK29" s="93">
        <f t="shared" si="35"/>
        <v>0</v>
      </c>
      <c r="DL29" s="93">
        <f t="shared" si="35"/>
        <v>0</v>
      </c>
      <c r="DM29" s="93">
        <f t="shared" si="35"/>
        <v>0</v>
      </c>
      <c r="DN29" s="93">
        <f t="shared" si="35"/>
        <v>0</v>
      </c>
      <c r="DO29" s="93">
        <f t="shared" si="35"/>
        <v>0</v>
      </c>
      <c r="DP29" s="93">
        <f t="shared" si="35"/>
        <v>0</v>
      </c>
      <c r="DQ29" s="93">
        <f t="shared" si="35"/>
        <v>0</v>
      </c>
      <c r="DR29" s="93">
        <f t="shared" si="35"/>
        <v>0</v>
      </c>
      <c r="DS29" s="93">
        <f t="shared" si="35"/>
        <v>0</v>
      </c>
      <c r="DT29" s="93">
        <f t="shared" si="35"/>
        <v>0</v>
      </c>
      <c r="DU29" s="94">
        <f>SUM(DI29:DT29)</f>
        <v>0</v>
      </c>
      <c r="DV29" s="93" t="e">
        <f>DC29-IF(PS_AnnualDetail,AC29,AD29)</f>
        <v>#REF!</v>
      </c>
      <c r="DW29" s="94" t="e">
        <f t="shared" ref="DW29:DY31" si="36">DD29-AE29</f>
        <v>#REF!</v>
      </c>
      <c r="DX29" s="93" t="e">
        <f t="shared" si="36"/>
        <v>#REF!</v>
      </c>
      <c r="DY29" s="94" t="e">
        <f t="shared" si="36"/>
        <v>#REF!</v>
      </c>
      <c r="DZ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 s="428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</row>
    <row r="30" spans="1:173" ht="12.4" customHeight="1" x14ac:dyDescent="0.2">
      <c r="A30" s="101" t="str">
        <f>A19</f>
        <v>Row 2</v>
      </c>
      <c r="B30" s="521"/>
      <c r="C30" s="102">
        <f t="shared" si="30"/>
        <v>0</v>
      </c>
      <c r="D30" s="102">
        <f t="shared" si="30"/>
        <v>0</v>
      </c>
      <c r="E30" s="102">
        <f t="shared" si="30"/>
        <v>0</v>
      </c>
      <c r="F30" s="102">
        <f t="shared" si="30"/>
        <v>0</v>
      </c>
      <c r="G30" s="102">
        <f t="shared" si="30"/>
        <v>0</v>
      </c>
      <c r="H30" s="102">
        <f t="shared" si="30"/>
        <v>0</v>
      </c>
      <c r="I30" s="102">
        <f t="shared" si="30"/>
        <v>0</v>
      </c>
      <c r="J30" s="102">
        <f t="shared" si="30"/>
        <v>0</v>
      </c>
      <c r="K30" s="102">
        <f t="shared" si="30"/>
        <v>0</v>
      </c>
      <c r="L30" s="102">
        <f t="shared" si="30"/>
        <v>0</v>
      </c>
      <c r="M30" s="102">
        <f t="shared" si="30"/>
        <v>0</v>
      </c>
      <c r="N30" s="102">
        <f t="shared" si="30"/>
        <v>0</v>
      </c>
      <c r="O30" s="103">
        <f>SUM(C30:N30)</f>
        <v>0</v>
      </c>
      <c r="P30" s="102"/>
      <c r="Q30" s="102">
        <f t="shared" si="31"/>
        <v>0</v>
      </c>
      <c r="R30" s="102">
        <f t="shared" si="31"/>
        <v>0</v>
      </c>
      <c r="S30" s="102">
        <f t="shared" si="31"/>
        <v>0</v>
      </c>
      <c r="T30" s="102">
        <f t="shared" si="31"/>
        <v>0</v>
      </c>
      <c r="U30" s="102">
        <f t="shared" si="31"/>
        <v>0</v>
      </c>
      <c r="V30" s="102">
        <f t="shared" si="31"/>
        <v>0</v>
      </c>
      <c r="W30" s="102">
        <f t="shared" si="31"/>
        <v>0</v>
      </c>
      <c r="X30" s="102">
        <f t="shared" si="31"/>
        <v>0</v>
      </c>
      <c r="Y30" s="102">
        <f t="shared" si="31"/>
        <v>0</v>
      </c>
      <c r="Z30" s="102">
        <f t="shared" si="31"/>
        <v>0</v>
      </c>
      <c r="AA30" s="102">
        <f t="shared" si="31"/>
        <v>0</v>
      </c>
      <c r="AB30" s="102">
        <f t="shared" si="31"/>
        <v>0</v>
      </c>
      <c r="AC30" s="103">
        <f>SUM(Q30:AB30)</f>
        <v>0</v>
      </c>
      <c r="AD30" s="102">
        <f t="shared" si="32"/>
        <v>0</v>
      </c>
      <c r="AE30" s="103" t="e">
        <f t="shared" si="32"/>
        <v>#REF!</v>
      </c>
      <c r="AF30" s="102" t="e">
        <f t="shared" si="32"/>
        <v>#REF!</v>
      </c>
      <c r="AG30" s="103" t="e">
        <f t="shared" si="32"/>
        <v>#REF!</v>
      </c>
      <c r="AH30"/>
      <c r="AI30"/>
      <c r="AJ30"/>
      <c r="AL30"/>
      <c r="AM30"/>
      <c r="AN30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CA30"/>
      <c r="CB30"/>
      <c r="CC30"/>
      <c r="CD30"/>
      <c r="CE30"/>
      <c r="CF30"/>
      <c r="CG30"/>
      <c r="CH30"/>
      <c r="CI30"/>
      <c r="CJ30"/>
      <c r="CK30"/>
      <c r="CL30"/>
      <c r="CM30"/>
      <c r="CO30" s="505"/>
      <c r="CP30" s="482">
        <f t="shared" si="33"/>
        <v>0</v>
      </c>
      <c r="CQ30" s="482">
        <f t="shared" si="33"/>
        <v>0</v>
      </c>
      <c r="CR30" s="482">
        <f t="shared" si="33"/>
        <v>0</v>
      </c>
      <c r="CS30" s="482">
        <f t="shared" si="33"/>
        <v>0</v>
      </c>
      <c r="CT30" s="482">
        <f t="shared" si="33"/>
        <v>0</v>
      </c>
      <c r="CU30" s="482">
        <f t="shared" si="33"/>
        <v>0</v>
      </c>
      <c r="CV30" s="482">
        <f t="shared" si="33"/>
        <v>0</v>
      </c>
      <c r="CW30" s="482">
        <f t="shared" si="33"/>
        <v>0</v>
      </c>
      <c r="CX30" s="482">
        <f t="shared" si="33"/>
        <v>0</v>
      </c>
      <c r="CY30" s="482">
        <f t="shared" si="33"/>
        <v>0</v>
      </c>
      <c r="CZ30" s="482">
        <f t="shared" si="33"/>
        <v>0</v>
      </c>
      <c r="DA30" s="482">
        <f t="shared" si="33"/>
        <v>0</v>
      </c>
      <c r="DB30" s="88">
        <f>SUM(CP30:DA30)</f>
        <v>0</v>
      </c>
      <c r="DC30" s="483" t="e">
        <f>IF(PS_AnnualDetail,AC30,AD30)</f>
        <v>#REF!</v>
      </c>
      <c r="DD30" s="484" t="e">
        <f t="shared" si="34"/>
        <v>#REF!</v>
      </c>
      <c r="DE30" s="483" t="e">
        <f t="shared" si="34"/>
        <v>#REF!</v>
      </c>
      <c r="DF30" s="484" t="e">
        <f t="shared" si="34"/>
        <v>#REF!</v>
      </c>
      <c r="DG30"/>
      <c r="DH30" s="521"/>
      <c r="DI30" s="93">
        <f t="shared" si="35"/>
        <v>0</v>
      </c>
      <c r="DJ30" s="93">
        <f t="shared" si="35"/>
        <v>0</v>
      </c>
      <c r="DK30" s="93">
        <f t="shared" si="35"/>
        <v>0</v>
      </c>
      <c r="DL30" s="93">
        <f t="shared" si="35"/>
        <v>0</v>
      </c>
      <c r="DM30" s="93">
        <f t="shared" si="35"/>
        <v>0</v>
      </c>
      <c r="DN30" s="93">
        <f t="shared" si="35"/>
        <v>0</v>
      </c>
      <c r="DO30" s="93">
        <f t="shared" si="35"/>
        <v>0</v>
      </c>
      <c r="DP30" s="93">
        <f t="shared" si="35"/>
        <v>0</v>
      </c>
      <c r="DQ30" s="93">
        <f t="shared" si="35"/>
        <v>0</v>
      </c>
      <c r="DR30" s="93">
        <f t="shared" si="35"/>
        <v>0</v>
      </c>
      <c r="DS30" s="93">
        <f t="shared" si="35"/>
        <v>0</v>
      </c>
      <c r="DT30" s="93">
        <f t="shared" si="35"/>
        <v>0</v>
      </c>
      <c r="DU30" s="94">
        <f>SUM(DI30:DT30)</f>
        <v>0</v>
      </c>
      <c r="DV30" s="93" t="e">
        <f>DC30-IF(PS_AnnualDetail,AC30,AD30)</f>
        <v>#REF!</v>
      </c>
      <c r="DW30" s="94" t="e">
        <f t="shared" si="36"/>
        <v>#REF!</v>
      </c>
      <c r="DX30" s="93" t="e">
        <f t="shared" si="36"/>
        <v>#REF!</v>
      </c>
      <c r="DY30" s="94" t="e">
        <f t="shared" si="36"/>
        <v>#REF!</v>
      </c>
      <c r="DZ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 s="428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</row>
    <row r="31" spans="1:173" ht="13.15" customHeight="1" thickBot="1" x14ac:dyDescent="0.25">
      <c r="A31" s="128" t="str">
        <f>A20</f>
        <v>Row 3</v>
      </c>
      <c r="B31" s="521"/>
      <c r="C31" s="102">
        <f t="shared" si="30"/>
        <v>0</v>
      </c>
      <c r="D31" s="102">
        <f t="shared" si="30"/>
        <v>0</v>
      </c>
      <c r="E31" s="102">
        <f t="shared" si="30"/>
        <v>0</v>
      </c>
      <c r="F31" s="102">
        <f t="shared" si="30"/>
        <v>0</v>
      </c>
      <c r="G31" s="102">
        <f t="shared" si="30"/>
        <v>0</v>
      </c>
      <c r="H31" s="102">
        <f t="shared" si="30"/>
        <v>0</v>
      </c>
      <c r="I31" s="102">
        <f t="shared" si="30"/>
        <v>0</v>
      </c>
      <c r="J31" s="102">
        <f t="shared" si="30"/>
        <v>0</v>
      </c>
      <c r="K31" s="102">
        <f t="shared" si="30"/>
        <v>0</v>
      </c>
      <c r="L31" s="102">
        <f t="shared" si="30"/>
        <v>0</v>
      </c>
      <c r="M31" s="102">
        <f t="shared" si="30"/>
        <v>0</v>
      </c>
      <c r="N31" s="102">
        <f t="shared" si="30"/>
        <v>0</v>
      </c>
      <c r="O31" s="103">
        <f>SUM(C31:N31)</f>
        <v>0</v>
      </c>
      <c r="P31" s="102"/>
      <c r="Q31" s="102">
        <f t="shared" si="31"/>
        <v>0</v>
      </c>
      <c r="R31" s="102">
        <f t="shared" si="31"/>
        <v>0</v>
      </c>
      <c r="S31" s="102">
        <f t="shared" si="31"/>
        <v>0</v>
      </c>
      <c r="T31" s="102">
        <f t="shared" si="31"/>
        <v>0</v>
      </c>
      <c r="U31" s="102">
        <f t="shared" si="31"/>
        <v>0</v>
      </c>
      <c r="V31" s="102">
        <f t="shared" si="31"/>
        <v>0</v>
      </c>
      <c r="W31" s="102">
        <f t="shared" si="31"/>
        <v>0</v>
      </c>
      <c r="X31" s="102">
        <f t="shared" si="31"/>
        <v>0</v>
      </c>
      <c r="Y31" s="102">
        <f t="shared" si="31"/>
        <v>0</v>
      </c>
      <c r="Z31" s="102">
        <f t="shared" si="31"/>
        <v>0</v>
      </c>
      <c r="AA31" s="102">
        <f t="shared" si="31"/>
        <v>0</v>
      </c>
      <c r="AB31" s="102">
        <f t="shared" si="31"/>
        <v>0</v>
      </c>
      <c r="AC31" s="103">
        <f>SUM(Q31:AB31)</f>
        <v>0</v>
      </c>
      <c r="AD31" s="102">
        <f t="shared" si="32"/>
        <v>0</v>
      </c>
      <c r="AE31" s="103" t="e">
        <f t="shared" si="32"/>
        <v>#REF!</v>
      </c>
      <c r="AF31" s="102" t="e">
        <f t="shared" si="32"/>
        <v>#REF!</v>
      </c>
      <c r="AG31" s="103" t="e">
        <f t="shared" si="32"/>
        <v>#REF!</v>
      </c>
      <c r="AH31"/>
      <c r="AI31"/>
      <c r="AJ31"/>
      <c r="AL31"/>
      <c r="AM31"/>
      <c r="AN31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CA31"/>
      <c r="CB31"/>
      <c r="CC31"/>
      <c r="CD31"/>
      <c r="CE31"/>
      <c r="CF31"/>
      <c r="CG31"/>
      <c r="CH31"/>
      <c r="CI31"/>
      <c r="CJ31"/>
      <c r="CK31"/>
      <c r="CL31"/>
      <c r="CM31"/>
      <c r="CO31" s="510" t="s">
        <v>89</v>
      </c>
      <c r="CP31" s="487">
        <f t="shared" si="33"/>
        <v>0</v>
      </c>
      <c r="CQ31" s="487">
        <f t="shared" si="33"/>
        <v>0</v>
      </c>
      <c r="CR31" s="487">
        <f t="shared" si="33"/>
        <v>0</v>
      </c>
      <c r="CS31" s="487">
        <f t="shared" si="33"/>
        <v>0</v>
      </c>
      <c r="CT31" s="487">
        <f t="shared" si="33"/>
        <v>0</v>
      </c>
      <c r="CU31" s="487">
        <f t="shared" si="33"/>
        <v>0</v>
      </c>
      <c r="CV31" s="487">
        <f t="shared" si="33"/>
        <v>0</v>
      </c>
      <c r="CW31" s="487">
        <f t="shared" si="33"/>
        <v>0</v>
      </c>
      <c r="CX31" s="487">
        <f t="shared" si="33"/>
        <v>0</v>
      </c>
      <c r="CY31" s="487">
        <f t="shared" si="33"/>
        <v>0</v>
      </c>
      <c r="CZ31" s="487">
        <f t="shared" si="33"/>
        <v>0</v>
      </c>
      <c r="DA31" s="487">
        <f t="shared" si="33"/>
        <v>0</v>
      </c>
      <c r="DB31" s="461">
        <f>SUM(CP31:DA31)</f>
        <v>0</v>
      </c>
      <c r="DC31" s="488" t="e">
        <f>IF(PS_AnnualDetail,AC31,AD31)</f>
        <v>#REF!</v>
      </c>
      <c r="DD31" s="489" t="e">
        <f t="shared" si="34"/>
        <v>#REF!</v>
      </c>
      <c r="DE31" s="488" t="e">
        <f t="shared" si="34"/>
        <v>#REF!</v>
      </c>
      <c r="DF31" s="489" t="e">
        <f t="shared" si="34"/>
        <v>#REF!</v>
      </c>
      <c r="DG31"/>
      <c r="DH31" s="521"/>
      <c r="DI31" s="93">
        <f t="shared" si="35"/>
        <v>0</v>
      </c>
      <c r="DJ31" s="93">
        <f t="shared" si="35"/>
        <v>0</v>
      </c>
      <c r="DK31" s="93">
        <f t="shared" si="35"/>
        <v>0</v>
      </c>
      <c r="DL31" s="93">
        <f t="shared" si="35"/>
        <v>0</v>
      </c>
      <c r="DM31" s="93">
        <f t="shared" si="35"/>
        <v>0</v>
      </c>
      <c r="DN31" s="93">
        <f t="shared" si="35"/>
        <v>0</v>
      </c>
      <c r="DO31" s="93">
        <f t="shared" si="35"/>
        <v>0</v>
      </c>
      <c r="DP31" s="93">
        <f t="shared" si="35"/>
        <v>0</v>
      </c>
      <c r="DQ31" s="93">
        <f t="shared" si="35"/>
        <v>0</v>
      </c>
      <c r="DR31" s="93">
        <f t="shared" si="35"/>
        <v>0</v>
      </c>
      <c r="DS31" s="93">
        <f t="shared" si="35"/>
        <v>0</v>
      </c>
      <c r="DT31" s="93">
        <f t="shared" si="35"/>
        <v>0</v>
      </c>
      <c r="DU31" s="94">
        <f>SUM(DI31:DT31)</f>
        <v>0</v>
      </c>
      <c r="DV31" s="93" t="e">
        <f>DC31-IF(PS_AnnualDetail,AC31,AD31)</f>
        <v>#REF!</v>
      </c>
      <c r="DW31" s="94" t="e">
        <f t="shared" si="36"/>
        <v>#REF!</v>
      </c>
      <c r="DX31" s="93" t="e">
        <f t="shared" si="36"/>
        <v>#REF!</v>
      </c>
      <c r="DY31" s="94" t="e">
        <f t="shared" si="36"/>
        <v>#REF!</v>
      </c>
      <c r="DZ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 s="428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</row>
    <row r="32" spans="1:173" ht="12.4" customHeight="1" x14ac:dyDescent="0.2">
      <c r="A32" s="98" t="e">
        <f>IF(PS_Nonprofit=TRUE,"Total Funding","Total Sales")</f>
        <v>#REF!</v>
      </c>
      <c r="B32" s="99"/>
      <c r="C32" s="99">
        <f t="shared" ref="C32:O32" si="37">SUM(C29:C31)</f>
        <v>0</v>
      </c>
      <c r="D32" s="99">
        <f t="shared" si="37"/>
        <v>0</v>
      </c>
      <c r="E32" s="99">
        <f t="shared" si="37"/>
        <v>0</v>
      </c>
      <c r="F32" s="99">
        <f t="shared" si="37"/>
        <v>0</v>
      </c>
      <c r="G32" s="99">
        <f t="shared" si="37"/>
        <v>0</v>
      </c>
      <c r="H32" s="99">
        <f t="shared" si="37"/>
        <v>0</v>
      </c>
      <c r="I32" s="99">
        <f t="shared" si="37"/>
        <v>0</v>
      </c>
      <c r="J32" s="99">
        <f t="shared" si="37"/>
        <v>0</v>
      </c>
      <c r="K32" s="99">
        <f t="shared" si="37"/>
        <v>0</v>
      </c>
      <c r="L32" s="99">
        <f t="shared" si="37"/>
        <v>0</v>
      </c>
      <c r="M32" s="99">
        <f t="shared" si="37"/>
        <v>0</v>
      </c>
      <c r="N32" s="99">
        <f t="shared" si="37"/>
        <v>0</v>
      </c>
      <c r="O32" s="100">
        <f t="shared" si="37"/>
        <v>0</v>
      </c>
      <c r="P32" s="99"/>
      <c r="Q32" s="99">
        <f t="shared" ref="Q32:AG32" si="38">SUM(Q29:Q31)</f>
        <v>0</v>
      </c>
      <c r="R32" s="99">
        <f t="shared" si="38"/>
        <v>0</v>
      </c>
      <c r="S32" s="99">
        <f t="shared" si="38"/>
        <v>0</v>
      </c>
      <c r="T32" s="99">
        <f t="shared" si="38"/>
        <v>0</v>
      </c>
      <c r="U32" s="99">
        <f t="shared" si="38"/>
        <v>0</v>
      </c>
      <c r="V32" s="99">
        <f t="shared" si="38"/>
        <v>0</v>
      </c>
      <c r="W32" s="99">
        <f t="shared" si="38"/>
        <v>0</v>
      </c>
      <c r="X32" s="99">
        <f t="shared" si="38"/>
        <v>0</v>
      </c>
      <c r="Y32" s="99">
        <f t="shared" si="38"/>
        <v>0</v>
      </c>
      <c r="Z32" s="99">
        <f t="shared" si="38"/>
        <v>0</v>
      </c>
      <c r="AA32" s="99">
        <f t="shared" si="38"/>
        <v>0</v>
      </c>
      <c r="AB32" s="99">
        <f t="shared" si="38"/>
        <v>0</v>
      </c>
      <c r="AC32" s="100">
        <f t="shared" si="38"/>
        <v>0</v>
      </c>
      <c r="AD32" s="99">
        <f t="shared" si="38"/>
        <v>0</v>
      </c>
      <c r="AE32" s="100" t="e">
        <f t="shared" si="38"/>
        <v>#REF!</v>
      </c>
      <c r="AF32" s="99" t="e">
        <f t="shared" si="38"/>
        <v>#REF!</v>
      </c>
      <c r="AG32" s="100" t="e">
        <f t="shared" si="38"/>
        <v>#REF!</v>
      </c>
      <c r="AH32"/>
      <c r="AI32"/>
      <c r="AJ32"/>
      <c r="AL32"/>
      <c r="AM32"/>
      <c r="AN32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/>
      <c r="BN32"/>
      <c r="CA32"/>
      <c r="CO32" s="99"/>
      <c r="CP32" s="99">
        <f t="shared" ref="CP32:DF32" si="39">SUM(CP29:CP31)</f>
        <v>0</v>
      </c>
      <c r="CQ32" s="99">
        <f t="shared" si="39"/>
        <v>0</v>
      </c>
      <c r="CR32" s="99">
        <f t="shared" si="39"/>
        <v>0</v>
      </c>
      <c r="CS32" s="99">
        <f t="shared" si="39"/>
        <v>0</v>
      </c>
      <c r="CT32" s="99">
        <f t="shared" si="39"/>
        <v>0</v>
      </c>
      <c r="CU32" s="99">
        <f t="shared" si="39"/>
        <v>0</v>
      </c>
      <c r="CV32" s="99">
        <f t="shared" si="39"/>
        <v>0</v>
      </c>
      <c r="CW32" s="99">
        <f t="shared" si="39"/>
        <v>0</v>
      </c>
      <c r="CX32" s="99">
        <f t="shared" si="39"/>
        <v>0</v>
      </c>
      <c r="CY32" s="99">
        <f t="shared" si="39"/>
        <v>0</v>
      </c>
      <c r="CZ32" s="99">
        <f t="shared" si="39"/>
        <v>0</v>
      </c>
      <c r="DA32" s="99">
        <f t="shared" si="39"/>
        <v>0</v>
      </c>
      <c r="DB32" s="100">
        <f t="shared" si="39"/>
        <v>0</v>
      </c>
      <c r="DC32" s="99" t="e">
        <f t="shared" si="39"/>
        <v>#REF!</v>
      </c>
      <c r="DD32" s="100" t="e">
        <f t="shared" si="39"/>
        <v>#REF!</v>
      </c>
      <c r="DE32" s="99" t="e">
        <f t="shared" si="39"/>
        <v>#REF!</v>
      </c>
      <c r="DF32" s="100" t="e">
        <f t="shared" si="39"/>
        <v>#REF!</v>
      </c>
      <c r="DG32"/>
      <c r="DH32" s="99"/>
      <c r="DI32" s="99">
        <f t="shared" ref="DI32:DY32" si="40">SUM(DI29:DI31)</f>
        <v>0</v>
      </c>
      <c r="DJ32" s="99">
        <f t="shared" si="40"/>
        <v>0</v>
      </c>
      <c r="DK32" s="99">
        <f t="shared" si="40"/>
        <v>0</v>
      </c>
      <c r="DL32" s="99">
        <f t="shared" si="40"/>
        <v>0</v>
      </c>
      <c r="DM32" s="99">
        <f t="shared" si="40"/>
        <v>0</v>
      </c>
      <c r="DN32" s="99">
        <f t="shared" si="40"/>
        <v>0</v>
      </c>
      <c r="DO32" s="99">
        <f t="shared" si="40"/>
        <v>0</v>
      </c>
      <c r="DP32" s="99">
        <f t="shared" si="40"/>
        <v>0</v>
      </c>
      <c r="DQ32" s="99">
        <f t="shared" si="40"/>
        <v>0</v>
      </c>
      <c r="DR32" s="99">
        <f t="shared" si="40"/>
        <v>0</v>
      </c>
      <c r="DS32" s="99">
        <f t="shared" si="40"/>
        <v>0</v>
      </c>
      <c r="DT32" s="99">
        <f t="shared" si="40"/>
        <v>0</v>
      </c>
      <c r="DU32" s="100">
        <f t="shared" si="40"/>
        <v>0</v>
      </c>
      <c r="DV32" s="99" t="e">
        <f t="shared" si="40"/>
        <v>#REF!</v>
      </c>
      <c r="DW32" s="100" t="e">
        <f t="shared" si="40"/>
        <v>#REF!</v>
      </c>
      <c r="DX32" s="99" t="e">
        <f t="shared" si="40"/>
        <v>#REF!</v>
      </c>
      <c r="DY32" s="100" t="e">
        <f t="shared" si="40"/>
        <v>#REF!</v>
      </c>
      <c r="DZ32"/>
      <c r="ED32"/>
      <c r="EQ32"/>
      <c r="EY32"/>
      <c r="FL32"/>
    </row>
    <row r="33" spans="1:168" ht="12.4" customHeight="1" x14ac:dyDescent="0.2">
      <c r="A33" s="129"/>
      <c r="B33" s="109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55"/>
      <c r="P33" s="120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55"/>
      <c r="AD33" s="102"/>
      <c r="AE33" s="103"/>
      <c r="AF33" s="102"/>
      <c r="AG33" s="103"/>
      <c r="AH33"/>
      <c r="AI33"/>
      <c r="AJ33"/>
      <c r="AL33"/>
      <c r="AM33"/>
      <c r="AN33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N33"/>
      <c r="CO33" s="109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55"/>
      <c r="DC33" s="102"/>
      <c r="DD33" s="103"/>
      <c r="DE33" s="102"/>
      <c r="DF33" s="103"/>
      <c r="DG33"/>
      <c r="DH33" s="109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55"/>
      <c r="DV33" s="102"/>
      <c r="DW33" s="103"/>
      <c r="DX33" s="102"/>
      <c r="DY33" s="103"/>
      <c r="DZ33"/>
      <c r="EQ33"/>
      <c r="FL33"/>
    </row>
    <row r="34" spans="1:168" ht="16.899999999999999" customHeight="1" thickBot="1" x14ac:dyDescent="0.25">
      <c r="A34" s="83" t="s">
        <v>161</v>
      </c>
      <c r="B34" s="84"/>
      <c r="C34" s="85" t="e">
        <f>IF(PS_DateSetting=1," Month 1",DATE(PS_StartingYear,PS_StartingMonth,15))</f>
        <v>#REF!</v>
      </c>
      <c r="D34" s="85" t="e">
        <f>IF(PS_DateSetting=1," Month 2",C34+30.4)</f>
        <v>#REF!</v>
      </c>
      <c r="E34" s="85" t="e">
        <f>IF(PS_DateSetting=1," Month 3",D34+30.4)</f>
        <v>#REF!</v>
      </c>
      <c r="F34" s="85" t="e">
        <f>IF(PS_DateSetting=1," Month 4",E34+30.4)</f>
        <v>#REF!</v>
      </c>
      <c r="G34" s="85" t="e">
        <f>IF(PS_DateSetting=1," Month 5",F34+30.4)</f>
        <v>#REF!</v>
      </c>
      <c r="H34" s="85" t="e">
        <f>IF(PS_DateSetting=1," Month 6",G34+30.4)</f>
        <v>#REF!</v>
      </c>
      <c r="I34" s="85" t="e">
        <f>IF(PS_DateSetting=1," Month 7",H34+30.4)</f>
        <v>#REF!</v>
      </c>
      <c r="J34" s="85" t="e">
        <f>IF(PS_DateSetting=1," Month 8",I34+30.4)</f>
        <v>#REF!</v>
      </c>
      <c r="K34" s="85" t="e">
        <f>IF(PS_DateSetting=1," Month 9",J34+30.4)</f>
        <v>#REF!</v>
      </c>
      <c r="L34" s="85" t="e">
        <f>IF(PS_DateSetting=1," Month 10",K34+30.4)</f>
        <v>#REF!</v>
      </c>
      <c r="M34" s="85" t="e">
        <f>IF(PS_DateSetting=1," Month 11",L34+30.4)</f>
        <v>#REF!</v>
      </c>
      <c r="N34" s="85" t="e">
        <f>IF(PS_DateSetting=1," Month 12",M34+30.4)</f>
        <v>#REF!</v>
      </c>
      <c r="O34" s="86" t="e">
        <f>IF(PS_DateSetting=1," Year 1",IF(PS_StartingMonth&gt;1,"FY "&amp;PS_StartingYear+1,PS_StartingYear))</f>
        <v>#REF!</v>
      </c>
      <c r="P34" s="84"/>
      <c r="Q34" s="85" t="e">
        <f>IF(PS_DateSetting=1," Month 13",DATE(PS_StartingYear,PS_StartingMonth,15))</f>
        <v>#REF!</v>
      </c>
      <c r="R34" s="85" t="e">
        <f>IF(PS_DateSetting=1," Month 14",Q34+30.4)</f>
        <v>#REF!</v>
      </c>
      <c r="S34" s="85" t="e">
        <f>IF(PS_DateSetting=1," Month 15",R34+30.4)</f>
        <v>#REF!</v>
      </c>
      <c r="T34" s="85" t="e">
        <f>IF(PS_DateSetting=1," Month 16",S34+30.4)</f>
        <v>#REF!</v>
      </c>
      <c r="U34" s="85" t="e">
        <f>IF(PS_DateSetting=1," Month 17",T34+30.4)</f>
        <v>#REF!</v>
      </c>
      <c r="V34" s="85" t="e">
        <f>IF(PS_DateSetting=1," Month 18",U34+30.4)</f>
        <v>#REF!</v>
      </c>
      <c r="W34" s="85" t="e">
        <f>IF(PS_DateSetting=1," Month 19",V34+30.4)</f>
        <v>#REF!</v>
      </c>
      <c r="X34" s="85" t="e">
        <f>IF(PS_DateSetting=1," Month 20",W34+30.4)</f>
        <v>#REF!</v>
      </c>
      <c r="Y34" s="85" t="e">
        <f>IF(PS_DateSetting=1," Month 21",X34+30.4)</f>
        <v>#REF!</v>
      </c>
      <c r="Z34" s="85" t="e">
        <f>IF(PS_DateSetting=1," Month 22",Y34+30.4)</f>
        <v>#REF!</v>
      </c>
      <c r="AA34" s="85" t="e">
        <f>IF(PS_DateSetting=1," Month 23",Z34+30.4)</f>
        <v>#REF!</v>
      </c>
      <c r="AB34" s="85" t="e">
        <f>IF(PS_DateSetting=1," Month 24",AA34+30.4)</f>
        <v>#REF!</v>
      </c>
      <c r="AC34" s="86" t="e">
        <f>IF(PS_DateSetting=1," Year 2",IF(PS_StartingMonth&gt;1,"FY "&amp;PS_StartingYear+2,PS_StartingYear+1))</f>
        <v>#REF!</v>
      </c>
      <c r="AD34" s="87" t="e">
        <f>IF(PS_DateSetting=1," Year 2",IF(PS_StartingMonth&gt;1,"FY "&amp;PS_StartingYear+2,PS_StartingYear+1))</f>
        <v>#REF!</v>
      </c>
      <c r="AE34" s="86" t="e">
        <f>IF(PS_DateSetting=1," Year 3",IF(PS_StartingMonth&gt;1,"FY "&amp;PS_StartingYear+3,PS_StartingYear+2))</f>
        <v>#REF!</v>
      </c>
      <c r="AF34" s="87" t="e">
        <f>IF(PS_DateSetting=1," Year 4",IF(PS_StartingMonth&gt;1,"FY "&amp;PS_StartingYear+4,PS_StartingYear+3))</f>
        <v>#REF!</v>
      </c>
      <c r="AG34" s="86" t="e">
        <f>IF(PS_DateSetting=1," Year 5",IF(PS_StartingMonth&gt;1,"FY "&amp;PS_StartingYear+5,PS_StartingYear+4))</f>
        <v>#REF!</v>
      </c>
      <c r="AH34"/>
      <c r="AI34"/>
      <c r="AJ34"/>
      <c r="AL34"/>
      <c r="AM34"/>
      <c r="AN34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CO34" s="84"/>
      <c r="CP34" s="85" t="e">
        <f>IF(PS_DateSetting=1," Month 1",DATE(PS_StartingYear,PS_StartingMonth,15))</f>
        <v>#REF!</v>
      </c>
      <c r="CQ34" s="85" t="e">
        <f>IF(PS_DateSetting=1," Month 2",CP34+30.4)</f>
        <v>#REF!</v>
      </c>
      <c r="CR34" s="85" t="e">
        <f>IF(PS_DateSetting=1," Month 3",CQ34+30.4)</f>
        <v>#REF!</v>
      </c>
      <c r="CS34" s="85" t="e">
        <f>IF(PS_DateSetting=1," Month 4",CR34+30.4)</f>
        <v>#REF!</v>
      </c>
      <c r="CT34" s="85" t="e">
        <f>IF(PS_DateSetting=1," Month 5",CS34+30.4)</f>
        <v>#REF!</v>
      </c>
      <c r="CU34" s="85" t="e">
        <f>IF(PS_DateSetting=1," Month 6",CT34+30.4)</f>
        <v>#REF!</v>
      </c>
      <c r="CV34" s="85" t="e">
        <f>IF(PS_DateSetting=1," Month 7",CU34+30.4)</f>
        <v>#REF!</v>
      </c>
      <c r="CW34" s="85" t="e">
        <f>IF(PS_DateSetting=1," Month 8",CV34+30.4)</f>
        <v>#REF!</v>
      </c>
      <c r="CX34" s="85" t="e">
        <f>IF(PS_DateSetting=1," Month 9",CW34+30.4)</f>
        <v>#REF!</v>
      </c>
      <c r="CY34" s="85" t="e">
        <f>IF(PS_DateSetting=1," Month 10",CX34+30.4)</f>
        <v>#REF!</v>
      </c>
      <c r="CZ34" s="85" t="e">
        <f>IF(PS_DateSetting=1," Month 11",CY34+30.4)</f>
        <v>#REF!</v>
      </c>
      <c r="DA34" s="85" t="e">
        <f>IF(PS_DateSetting=1," Month 12",CZ34+30.4)</f>
        <v>#REF!</v>
      </c>
      <c r="DB34" s="86" t="e">
        <f>IF(PS_DateSetting=1," Year 1",IF(PS_StartingMonth&gt;1,"FY "&amp;PS_StartingYear+1,PS_StartingYear))</f>
        <v>#REF!</v>
      </c>
      <c r="DC34" s="87" t="e">
        <f>IF(PS_DateSetting=1," Year 2",IF(PS_StartingMonth&gt;1,"FY "&amp;PS_StartingYear+2,PS_StartingYear+1))</f>
        <v>#REF!</v>
      </c>
      <c r="DD34" s="86" t="e">
        <f>IF(PS_DateSetting=1," Year 3",IF(PS_StartingMonth&gt;1,"FY "&amp;PS_StartingYear+3,PS_StartingYear+2))</f>
        <v>#REF!</v>
      </c>
      <c r="DE34" s="87" t="e">
        <f>IF(PS_DateSetting=1," Year 4",IF(PS_StartingMonth&gt;1,"FY "&amp;PS_StartingYear+4,PS_StartingYear+3))</f>
        <v>#REF!</v>
      </c>
      <c r="DF34" s="86" t="e">
        <f>IF(PS_DateSetting=1," Year 5",IF(PS_StartingMonth&gt;1,"FY "&amp;PS_StartingYear+5,PS_StartingYear+4))</f>
        <v>#REF!</v>
      </c>
      <c r="DG34"/>
      <c r="DH34" s="84"/>
      <c r="DI34" s="85" t="e">
        <f>IF(PS_DateSetting=1," Month 1",DATE(PS_StartingYear,PS_StartingMonth,15))</f>
        <v>#REF!</v>
      </c>
      <c r="DJ34" s="85" t="e">
        <f>IF(PS_DateSetting=1," Month 2",DI34+30.4)</f>
        <v>#REF!</v>
      </c>
      <c r="DK34" s="85" t="e">
        <f>IF(PS_DateSetting=1," Month 3",DJ34+30.4)</f>
        <v>#REF!</v>
      </c>
      <c r="DL34" s="85" t="e">
        <f>IF(PS_DateSetting=1," Month 4",DK34+30.4)</f>
        <v>#REF!</v>
      </c>
      <c r="DM34" s="85" t="e">
        <f>IF(PS_DateSetting=1," Month 5",DL34+30.4)</f>
        <v>#REF!</v>
      </c>
      <c r="DN34" s="85" t="e">
        <f>IF(PS_DateSetting=1," Month 6",DM34+30.4)</f>
        <v>#REF!</v>
      </c>
      <c r="DO34" s="85" t="e">
        <f>IF(PS_DateSetting=1," Month 7",DN34+30.4)</f>
        <v>#REF!</v>
      </c>
      <c r="DP34" s="85" t="e">
        <f>IF(PS_DateSetting=1," Month 8",DO34+30.4)</f>
        <v>#REF!</v>
      </c>
      <c r="DQ34" s="85" t="e">
        <f>IF(PS_DateSetting=1," Month 9",DP34+30.4)</f>
        <v>#REF!</v>
      </c>
      <c r="DR34" s="85" t="e">
        <f>IF(PS_DateSetting=1," Month 10",DQ34+30.4)</f>
        <v>#REF!</v>
      </c>
      <c r="DS34" s="85" t="e">
        <f>IF(PS_DateSetting=1," Month 11",DR34+30.4)</f>
        <v>#REF!</v>
      </c>
      <c r="DT34" s="85" t="e">
        <f>IF(PS_DateSetting=1," Month 12",DS34+30.4)</f>
        <v>#REF!</v>
      </c>
      <c r="DU34" s="86" t="e">
        <f>IF(PS_DateSetting=1," Year 1",IF(PS_StartingMonth&gt;1,"FY "&amp;PS_StartingYear+1,PS_StartingYear))</f>
        <v>#REF!</v>
      </c>
      <c r="DV34" s="87" t="e">
        <f>IF(PS_DateSetting=1," Year 2",IF(PS_StartingMonth&gt;1,"FY "&amp;PS_StartingYear+2,PS_StartingYear+1))</f>
        <v>#REF!</v>
      </c>
      <c r="DW34" s="86" t="e">
        <f>IF(PS_DateSetting=1," Year 3",IF(PS_StartingMonth&gt;1,"FY "&amp;PS_StartingYear+3,PS_StartingYear+2))</f>
        <v>#REF!</v>
      </c>
      <c r="DX34" s="87" t="e">
        <f>IF(PS_DateSetting=1," Year 4",IF(PS_StartingMonth&gt;1,"FY "&amp;PS_StartingYear+4,PS_StartingYear+3))</f>
        <v>#REF!</v>
      </c>
      <c r="DY34" s="86" t="e">
        <f>IF(PS_DateSetting=1," Year 5",IF(PS_StartingMonth&gt;1,"FY "&amp;PS_StartingYear+5,PS_StartingYear+4))</f>
        <v>#REF!</v>
      </c>
      <c r="DZ34"/>
    </row>
    <row r="35" spans="1:168" ht="12.4" customHeight="1" x14ac:dyDescent="0.2">
      <c r="A35" s="101" t="str">
        <f>A18</f>
        <v>Row 1</v>
      </c>
      <c r="B35" s="640">
        <v>0</v>
      </c>
      <c r="C35" s="515">
        <f t="shared" ref="C35:N37" si="41">$B35*C24</f>
        <v>0</v>
      </c>
      <c r="D35" s="515">
        <f t="shared" si="41"/>
        <v>0</v>
      </c>
      <c r="E35" s="515">
        <f t="shared" si="41"/>
        <v>0</v>
      </c>
      <c r="F35" s="515">
        <f t="shared" si="41"/>
        <v>0</v>
      </c>
      <c r="G35" s="515">
        <f t="shared" si="41"/>
        <v>0</v>
      </c>
      <c r="H35" s="515">
        <f t="shared" si="41"/>
        <v>0</v>
      </c>
      <c r="I35" s="515">
        <f t="shared" si="41"/>
        <v>0</v>
      </c>
      <c r="J35" s="515">
        <f t="shared" si="41"/>
        <v>0</v>
      </c>
      <c r="K35" s="515">
        <f t="shared" si="41"/>
        <v>0</v>
      </c>
      <c r="L35" s="515">
        <f t="shared" si="41"/>
        <v>0</v>
      </c>
      <c r="M35" s="515">
        <f t="shared" si="41"/>
        <v>0</v>
      </c>
      <c r="N35" s="515">
        <f t="shared" si="41"/>
        <v>0</v>
      </c>
      <c r="O35" s="126">
        <f>IF(O18&lt;&gt;0,O40/O18,0)</f>
        <v>0</v>
      </c>
      <c r="P35" s="659">
        <f>B35</f>
        <v>0</v>
      </c>
      <c r="Q35" s="516">
        <f t="shared" ref="Q35:AB37" si="42">Q24*$P35</f>
        <v>0</v>
      </c>
      <c r="R35" s="516">
        <f t="shared" si="42"/>
        <v>0</v>
      </c>
      <c r="S35" s="515">
        <f t="shared" si="42"/>
        <v>0</v>
      </c>
      <c r="T35" s="515">
        <f t="shared" si="42"/>
        <v>0</v>
      </c>
      <c r="U35" s="515">
        <f t="shared" si="42"/>
        <v>0</v>
      </c>
      <c r="V35" s="515">
        <f t="shared" si="42"/>
        <v>0</v>
      </c>
      <c r="W35" s="515">
        <f t="shared" si="42"/>
        <v>0</v>
      </c>
      <c r="X35" s="515">
        <f t="shared" si="42"/>
        <v>0</v>
      </c>
      <c r="Y35" s="515">
        <f t="shared" si="42"/>
        <v>0</v>
      </c>
      <c r="Z35" s="515">
        <f t="shared" si="42"/>
        <v>0</v>
      </c>
      <c r="AA35" s="515">
        <f t="shared" si="42"/>
        <v>0</v>
      </c>
      <c r="AB35" s="515">
        <f t="shared" si="42"/>
        <v>0</v>
      </c>
      <c r="AC35" s="126">
        <f>IF(AC18&lt;&gt;0,AC40/AC18,0)</f>
        <v>0</v>
      </c>
      <c r="AD35" s="517">
        <f t="shared" ref="AD35:AG37" si="43">AD24*$P35</f>
        <v>0</v>
      </c>
      <c r="AE35" s="493" t="e">
        <f t="shared" si="43"/>
        <v>#REF!</v>
      </c>
      <c r="AF35" s="517" t="e">
        <f t="shared" si="43"/>
        <v>#REF!</v>
      </c>
      <c r="AG35" s="493" t="e">
        <f t="shared" si="43"/>
        <v>#REF!</v>
      </c>
      <c r="AH35"/>
      <c r="AI35"/>
      <c r="AJ35"/>
      <c r="AL35"/>
      <c r="AM35"/>
      <c r="AN35"/>
      <c r="AO35" s="18"/>
      <c r="AP35" s="18"/>
      <c r="AQ35" s="18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CO35" s="122"/>
      <c r="CP35" s="122">
        <f t="shared" ref="CP35:DF37" si="44">IF(CP18&lt;&gt;0,CP40/CP18,0)</f>
        <v>0</v>
      </c>
      <c r="CQ35" s="122">
        <f t="shared" si="44"/>
        <v>0</v>
      </c>
      <c r="CR35" s="122">
        <f t="shared" si="44"/>
        <v>0</v>
      </c>
      <c r="CS35" s="122">
        <f t="shared" si="44"/>
        <v>0</v>
      </c>
      <c r="CT35" s="122">
        <f t="shared" si="44"/>
        <v>0</v>
      </c>
      <c r="CU35" s="122">
        <f t="shared" si="44"/>
        <v>0</v>
      </c>
      <c r="CV35" s="122">
        <f t="shared" si="44"/>
        <v>0</v>
      </c>
      <c r="CW35" s="122">
        <f t="shared" si="44"/>
        <v>0</v>
      </c>
      <c r="CX35" s="122">
        <f t="shared" si="44"/>
        <v>0</v>
      </c>
      <c r="CY35" s="122">
        <f t="shared" si="44"/>
        <v>0</v>
      </c>
      <c r="CZ35" s="122">
        <f t="shared" si="44"/>
        <v>0</v>
      </c>
      <c r="DA35" s="122">
        <f t="shared" si="44"/>
        <v>0</v>
      </c>
      <c r="DB35" s="123">
        <f t="shared" si="44"/>
        <v>0</v>
      </c>
      <c r="DC35" s="122" t="e">
        <f t="shared" si="44"/>
        <v>#REF!</v>
      </c>
      <c r="DD35" s="123">
        <f t="shared" si="44"/>
        <v>0</v>
      </c>
      <c r="DE35" s="122">
        <f t="shared" si="44"/>
        <v>0</v>
      </c>
      <c r="DF35" s="123">
        <f t="shared" si="44"/>
        <v>0</v>
      </c>
      <c r="DG35"/>
      <c r="DH35" s="522"/>
      <c r="DI35" s="122">
        <f t="shared" ref="DI35:DT37" si="45">C35-CP35</f>
        <v>0</v>
      </c>
      <c r="DJ35" s="122">
        <f t="shared" si="45"/>
        <v>0</v>
      </c>
      <c r="DK35" s="122">
        <f t="shared" si="45"/>
        <v>0</v>
      </c>
      <c r="DL35" s="122">
        <f t="shared" si="45"/>
        <v>0</v>
      </c>
      <c r="DM35" s="122">
        <f t="shared" si="45"/>
        <v>0</v>
      </c>
      <c r="DN35" s="122">
        <f t="shared" si="45"/>
        <v>0</v>
      </c>
      <c r="DO35" s="122">
        <f t="shared" si="45"/>
        <v>0</v>
      </c>
      <c r="DP35" s="122">
        <f t="shared" si="45"/>
        <v>0</v>
      </c>
      <c r="DQ35" s="122">
        <f t="shared" si="45"/>
        <v>0</v>
      </c>
      <c r="DR35" s="122">
        <f t="shared" si="45"/>
        <v>0</v>
      </c>
      <c r="DS35" s="122">
        <f t="shared" si="45"/>
        <v>0</v>
      </c>
      <c r="DT35" s="122">
        <f t="shared" si="45"/>
        <v>0</v>
      </c>
      <c r="DU35" s="126">
        <f>SUM(DI35:DT35)</f>
        <v>0</v>
      </c>
      <c r="DV35" s="124" t="e">
        <f>IF(PS_AnnualDetail,AC35,AD35)-DC35</f>
        <v>#REF!</v>
      </c>
      <c r="DW35" s="123" t="e">
        <f t="shared" ref="DW35:DY37" si="46">AE35-DD35</f>
        <v>#REF!</v>
      </c>
      <c r="DX35" s="122" t="e">
        <f t="shared" si="46"/>
        <v>#REF!</v>
      </c>
      <c r="DY35" s="123" t="e">
        <f t="shared" si="46"/>
        <v>#REF!</v>
      </c>
      <c r="DZ35"/>
    </row>
    <row r="36" spans="1:168" ht="12.4" customHeight="1" x14ac:dyDescent="0.2">
      <c r="A36" s="101" t="str">
        <f>A19</f>
        <v>Row 2</v>
      </c>
      <c r="B36" s="633">
        <v>0</v>
      </c>
      <c r="C36" s="518">
        <f t="shared" si="41"/>
        <v>0</v>
      </c>
      <c r="D36" s="518">
        <f t="shared" si="41"/>
        <v>0</v>
      </c>
      <c r="E36" s="518">
        <f t="shared" si="41"/>
        <v>0</v>
      </c>
      <c r="F36" s="518">
        <f t="shared" si="41"/>
        <v>0</v>
      </c>
      <c r="G36" s="518">
        <f t="shared" si="41"/>
        <v>0</v>
      </c>
      <c r="H36" s="518">
        <f t="shared" si="41"/>
        <v>0</v>
      </c>
      <c r="I36" s="518">
        <f t="shared" si="41"/>
        <v>0</v>
      </c>
      <c r="J36" s="518">
        <f t="shared" si="41"/>
        <v>0</v>
      </c>
      <c r="K36" s="518">
        <f t="shared" si="41"/>
        <v>0</v>
      </c>
      <c r="L36" s="518">
        <f t="shared" si="41"/>
        <v>0</v>
      </c>
      <c r="M36" s="518">
        <f t="shared" si="41"/>
        <v>0</v>
      </c>
      <c r="N36" s="518">
        <f t="shared" si="41"/>
        <v>0</v>
      </c>
      <c r="O36" s="126">
        <f>IF(O19&lt;&gt;0,O41/O19,0)</f>
        <v>0</v>
      </c>
      <c r="P36" s="660">
        <f>B36</f>
        <v>0</v>
      </c>
      <c r="Q36" s="518">
        <f t="shared" si="42"/>
        <v>0</v>
      </c>
      <c r="R36" s="518">
        <f t="shared" si="42"/>
        <v>0</v>
      </c>
      <c r="S36" s="518">
        <f t="shared" si="42"/>
        <v>0</v>
      </c>
      <c r="T36" s="518">
        <f t="shared" si="42"/>
        <v>0</v>
      </c>
      <c r="U36" s="518">
        <f t="shared" si="42"/>
        <v>0</v>
      </c>
      <c r="V36" s="518">
        <f t="shared" si="42"/>
        <v>0</v>
      </c>
      <c r="W36" s="518">
        <f t="shared" si="42"/>
        <v>0</v>
      </c>
      <c r="X36" s="518">
        <f t="shared" si="42"/>
        <v>0</v>
      </c>
      <c r="Y36" s="518">
        <f t="shared" si="42"/>
        <v>0</v>
      </c>
      <c r="Z36" s="518">
        <f t="shared" si="42"/>
        <v>0</v>
      </c>
      <c r="AA36" s="518">
        <f t="shared" si="42"/>
        <v>0</v>
      </c>
      <c r="AB36" s="518">
        <f t="shared" si="42"/>
        <v>0</v>
      </c>
      <c r="AC36" s="126">
        <f>IF(AC19&lt;&gt;0,AC41/AC19,0)</f>
        <v>0</v>
      </c>
      <c r="AD36" s="520">
        <f t="shared" si="43"/>
        <v>0</v>
      </c>
      <c r="AE36" s="494" t="e">
        <f t="shared" si="43"/>
        <v>#REF!</v>
      </c>
      <c r="AF36" s="520" t="e">
        <f t="shared" si="43"/>
        <v>#REF!</v>
      </c>
      <c r="AG36" s="494" t="e">
        <f t="shared" si="43"/>
        <v>#REF!</v>
      </c>
      <c r="AH36"/>
      <c r="AI36"/>
      <c r="AJ36"/>
      <c r="AL36"/>
      <c r="AM36"/>
      <c r="AN36"/>
      <c r="AO36" s="18"/>
      <c r="AP36" s="18"/>
      <c r="AQ36" s="18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CO36" s="125"/>
      <c r="CP36" s="125">
        <f t="shared" si="44"/>
        <v>0</v>
      </c>
      <c r="CQ36" s="125">
        <f t="shared" si="44"/>
        <v>0</v>
      </c>
      <c r="CR36" s="125">
        <f t="shared" si="44"/>
        <v>0</v>
      </c>
      <c r="CS36" s="125">
        <f t="shared" si="44"/>
        <v>0</v>
      </c>
      <c r="CT36" s="125">
        <f t="shared" si="44"/>
        <v>0</v>
      </c>
      <c r="CU36" s="125">
        <f t="shared" si="44"/>
        <v>0</v>
      </c>
      <c r="CV36" s="125">
        <f t="shared" si="44"/>
        <v>0</v>
      </c>
      <c r="CW36" s="125">
        <f t="shared" si="44"/>
        <v>0</v>
      </c>
      <c r="CX36" s="125">
        <f t="shared" si="44"/>
        <v>0</v>
      </c>
      <c r="CY36" s="125">
        <f t="shared" si="44"/>
        <v>0</v>
      </c>
      <c r="CZ36" s="125">
        <f t="shared" si="44"/>
        <v>0</v>
      </c>
      <c r="DA36" s="125">
        <f t="shared" si="44"/>
        <v>0</v>
      </c>
      <c r="DB36" s="126">
        <f t="shared" si="44"/>
        <v>0</v>
      </c>
      <c r="DC36" s="125" t="e">
        <f t="shared" si="44"/>
        <v>#REF!</v>
      </c>
      <c r="DD36" s="126">
        <f t="shared" si="44"/>
        <v>0</v>
      </c>
      <c r="DE36" s="125">
        <f t="shared" si="44"/>
        <v>0</v>
      </c>
      <c r="DF36" s="126">
        <f t="shared" si="44"/>
        <v>0</v>
      </c>
      <c r="DG36"/>
      <c r="DH36" s="523"/>
      <c r="DI36" s="125">
        <f t="shared" si="45"/>
        <v>0</v>
      </c>
      <c r="DJ36" s="125">
        <f t="shared" si="45"/>
        <v>0</v>
      </c>
      <c r="DK36" s="125">
        <f t="shared" si="45"/>
        <v>0</v>
      </c>
      <c r="DL36" s="125">
        <f t="shared" si="45"/>
        <v>0</v>
      </c>
      <c r="DM36" s="125">
        <f t="shared" si="45"/>
        <v>0</v>
      </c>
      <c r="DN36" s="125">
        <f t="shared" si="45"/>
        <v>0</v>
      </c>
      <c r="DO36" s="125">
        <f t="shared" si="45"/>
        <v>0</v>
      </c>
      <c r="DP36" s="125">
        <f t="shared" si="45"/>
        <v>0</v>
      </c>
      <c r="DQ36" s="125">
        <f t="shared" si="45"/>
        <v>0</v>
      </c>
      <c r="DR36" s="125">
        <f t="shared" si="45"/>
        <v>0</v>
      </c>
      <c r="DS36" s="125">
        <f t="shared" si="45"/>
        <v>0</v>
      </c>
      <c r="DT36" s="125">
        <f t="shared" si="45"/>
        <v>0</v>
      </c>
      <c r="DU36" s="126">
        <f>SUM(DI36:DT36)</f>
        <v>0</v>
      </c>
      <c r="DV36" s="127" t="e">
        <f>IF(PS_AnnualDetail,AC36,AD36)-DC36</f>
        <v>#REF!</v>
      </c>
      <c r="DW36" s="126" t="e">
        <f t="shared" si="46"/>
        <v>#REF!</v>
      </c>
      <c r="DX36" s="125" t="e">
        <f t="shared" si="46"/>
        <v>#REF!</v>
      </c>
      <c r="DY36" s="126" t="e">
        <f t="shared" si="46"/>
        <v>#REF!</v>
      </c>
      <c r="DZ36"/>
    </row>
    <row r="37" spans="1:168" ht="12.4" customHeight="1" x14ac:dyDescent="0.2">
      <c r="A37" s="128" t="str">
        <f>A20</f>
        <v>Row 3</v>
      </c>
      <c r="B37" s="633">
        <v>0</v>
      </c>
      <c r="C37" s="518">
        <f t="shared" si="41"/>
        <v>0</v>
      </c>
      <c r="D37" s="518">
        <f t="shared" si="41"/>
        <v>0</v>
      </c>
      <c r="E37" s="518">
        <f t="shared" si="41"/>
        <v>0</v>
      </c>
      <c r="F37" s="518">
        <f t="shared" si="41"/>
        <v>0</v>
      </c>
      <c r="G37" s="518">
        <f t="shared" si="41"/>
        <v>0</v>
      </c>
      <c r="H37" s="518">
        <f t="shared" si="41"/>
        <v>0</v>
      </c>
      <c r="I37" s="518">
        <f t="shared" si="41"/>
        <v>0</v>
      </c>
      <c r="J37" s="518">
        <f t="shared" si="41"/>
        <v>0</v>
      </c>
      <c r="K37" s="518">
        <f t="shared" si="41"/>
        <v>0</v>
      </c>
      <c r="L37" s="518">
        <f t="shared" si="41"/>
        <v>0</v>
      </c>
      <c r="M37" s="518">
        <f t="shared" si="41"/>
        <v>0</v>
      </c>
      <c r="N37" s="518">
        <f t="shared" si="41"/>
        <v>0</v>
      </c>
      <c r="O37" s="126">
        <f>IF(O20&lt;&gt;0,O42/O20,0)</f>
        <v>0</v>
      </c>
      <c r="P37" s="660">
        <f>B37</f>
        <v>0</v>
      </c>
      <c r="Q37" s="518">
        <f t="shared" si="42"/>
        <v>0</v>
      </c>
      <c r="R37" s="518">
        <f t="shared" si="42"/>
        <v>0</v>
      </c>
      <c r="S37" s="518">
        <f t="shared" si="42"/>
        <v>0</v>
      </c>
      <c r="T37" s="518">
        <f t="shared" si="42"/>
        <v>0</v>
      </c>
      <c r="U37" s="518">
        <f t="shared" si="42"/>
        <v>0</v>
      </c>
      <c r="V37" s="518">
        <f t="shared" si="42"/>
        <v>0</v>
      </c>
      <c r="W37" s="518">
        <f t="shared" si="42"/>
        <v>0</v>
      </c>
      <c r="X37" s="518">
        <f t="shared" si="42"/>
        <v>0</v>
      </c>
      <c r="Y37" s="518">
        <f t="shared" si="42"/>
        <v>0</v>
      </c>
      <c r="Z37" s="518">
        <f t="shared" si="42"/>
        <v>0</v>
      </c>
      <c r="AA37" s="518">
        <f t="shared" si="42"/>
        <v>0</v>
      </c>
      <c r="AB37" s="518">
        <f t="shared" si="42"/>
        <v>0</v>
      </c>
      <c r="AC37" s="126">
        <f>IF(AC20&lt;&gt;0,AC42/AC20,0)</f>
        <v>0</v>
      </c>
      <c r="AD37" s="520">
        <f t="shared" si="43"/>
        <v>0</v>
      </c>
      <c r="AE37" s="494" t="e">
        <f t="shared" si="43"/>
        <v>#REF!</v>
      </c>
      <c r="AF37" s="520" t="e">
        <f t="shared" si="43"/>
        <v>#REF!</v>
      </c>
      <c r="AG37" s="494" t="e">
        <f t="shared" si="43"/>
        <v>#REF!</v>
      </c>
      <c r="AH37"/>
      <c r="AI37"/>
      <c r="AJ37"/>
      <c r="AL37"/>
      <c r="AM37"/>
      <c r="AN37"/>
      <c r="AO37" s="18"/>
      <c r="AP37" s="18"/>
      <c r="AQ37" s="18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CO37" s="125"/>
      <c r="CP37" s="125">
        <f t="shared" si="44"/>
        <v>0</v>
      </c>
      <c r="CQ37" s="125">
        <f t="shared" si="44"/>
        <v>0</v>
      </c>
      <c r="CR37" s="125">
        <f t="shared" si="44"/>
        <v>0</v>
      </c>
      <c r="CS37" s="125">
        <f t="shared" si="44"/>
        <v>0</v>
      </c>
      <c r="CT37" s="125">
        <f t="shared" si="44"/>
        <v>0</v>
      </c>
      <c r="CU37" s="125">
        <f t="shared" si="44"/>
        <v>0</v>
      </c>
      <c r="CV37" s="125">
        <f t="shared" si="44"/>
        <v>0</v>
      </c>
      <c r="CW37" s="125">
        <f t="shared" si="44"/>
        <v>0</v>
      </c>
      <c r="CX37" s="125">
        <f t="shared" si="44"/>
        <v>0</v>
      </c>
      <c r="CY37" s="125">
        <f t="shared" si="44"/>
        <v>0</v>
      </c>
      <c r="CZ37" s="125">
        <f t="shared" si="44"/>
        <v>0</v>
      </c>
      <c r="DA37" s="125">
        <f t="shared" si="44"/>
        <v>0</v>
      </c>
      <c r="DB37" s="126">
        <f t="shared" si="44"/>
        <v>0</v>
      </c>
      <c r="DC37" s="125" t="e">
        <f t="shared" si="44"/>
        <v>#REF!</v>
      </c>
      <c r="DD37" s="126">
        <f t="shared" si="44"/>
        <v>0</v>
      </c>
      <c r="DE37" s="125">
        <f t="shared" si="44"/>
        <v>0</v>
      </c>
      <c r="DF37" s="126">
        <f t="shared" si="44"/>
        <v>0</v>
      </c>
      <c r="DG37"/>
      <c r="DH37" s="523"/>
      <c r="DI37" s="125">
        <f t="shared" si="45"/>
        <v>0</v>
      </c>
      <c r="DJ37" s="125">
        <f t="shared" si="45"/>
        <v>0</v>
      </c>
      <c r="DK37" s="125">
        <f t="shared" si="45"/>
        <v>0</v>
      </c>
      <c r="DL37" s="125">
        <f t="shared" si="45"/>
        <v>0</v>
      </c>
      <c r="DM37" s="125">
        <f t="shared" si="45"/>
        <v>0</v>
      </c>
      <c r="DN37" s="125">
        <f t="shared" si="45"/>
        <v>0</v>
      </c>
      <c r="DO37" s="125">
        <f t="shared" si="45"/>
        <v>0</v>
      </c>
      <c r="DP37" s="125">
        <f t="shared" si="45"/>
        <v>0</v>
      </c>
      <c r="DQ37" s="125">
        <f t="shared" si="45"/>
        <v>0</v>
      </c>
      <c r="DR37" s="125">
        <f t="shared" si="45"/>
        <v>0</v>
      </c>
      <c r="DS37" s="125">
        <f t="shared" si="45"/>
        <v>0</v>
      </c>
      <c r="DT37" s="125">
        <f t="shared" si="45"/>
        <v>0</v>
      </c>
      <c r="DU37" s="126">
        <f>SUM(DI37:DT37)</f>
        <v>0</v>
      </c>
      <c r="DV37" s="127" t="e">
        <f>IF(PS_AnnualDetail,AC37,AD37)-DC37</f>
        <v>#REF!</v>
      </c>
      <c r="DW37" s="126" t="e">
        <f t="shared" si="46"/>
        <v>#REF!</v>
      </c>
      <c r="DX37" s="125" t="e">
        <f t="shared" si="46"/>
        <v>#REF!</v>
      </c>
      <c r="DY37" s="126" t="e">
        <f t="shared" si="46"/>
        <v>#REF!</v>
      </c>
      <c r="DZ37"/>
    </row>
    <row r="38" spans="1:168" ht="12.4" customHeight="1" x14ac:dyDescent="0.2">
      <c r="A38" s="101"/>
      <c r="B38" s="130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55"/>
      <c r="P38" s="120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55"/>
      <c r="AD38" s="120"/>
      <c r="AE38" s="55"/>
      <c r="AF38" s="120"/>
      <c r="AG38" s="55"/>
      <c r="AH38"/>
      <c r="AI38"/>
      <c r="AJ38"/>
      <c r="AL38"/>
      <c r="AM38"/>
      <c r="AN38"/>
      <c r="AO38" s="18"/>
      <c r="AP38" s="18"/>
      <c r="AQ38" s="18"/>
      <c r="AR38"/>
      <c r="AS38" s="18"/>
      <c r="AT38" s="18"/>
      <c r="AU38" s="18"/>
      <c r="AV38" s="18"/>
      <c r="AW38" s="18"/>
      <c r="AX38" s="18"/>
      <c r="AY38" s="18"/>
      <c r="AZ38" s="18"/>
      <c r="CO38" s="130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55"/>
      <c r="DC38" s="120"/>
      <c r="DD38" s="55"/>
      <c r="DE38" s="120"/>
      <c r="DF38" s="55"/>
      <c r="DG38"/>
      <c r="DH38" s="130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55"/>
      <c r="DV38" s="120"/>
      <c r="DW38" s="55"/>
      <c r="DX38" s="120"/>
      <c r="DY38" s="55"/>
      <c r="DZ38"/>
    </row>
    <row r="39" spans="1:168" ht="16.899999999999999" customHeight="1" thickBot="1" x14ac:dyDescent="0.25">
      <c r="A39" s="83" t="e">
        <f>IF(PS_Nonprofit=TRUE,"Direct Cost of Funding","Direct Cost of Sales")</f>
        <v>#REF!</v>
      </c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84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6"/>
      <c r="AD39" s="87"/>
      <c r="AE39" s="86"/>
      <c r="AF39" s="87"/>
      <c r="AG39" s="86"/>
      <c r="AH39"/>
      <c r="AI39"/>
      <c r="AJ39"/>
      <c r="AL39"/>
      <c r="AM39"/>
      <c r="AN39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CO39" s="84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6"/>
      <c r="DC39" s="87"/>
      <c r="DD39" s="86"/>
      <c r="DE39" s="87"/>
      <c r="DF39" s="86"/>
      <c r="DG39"/>
      <c r="DH39" s="84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6"/>
      <c r="DV39" s="87"/>
      <c r="DW39" s="86"/>
      <c r="DX39" s="87"/>
      <c r="DY39" s="86"/>
      <c r="DZ39"/>
    </row>
    <row r="40" spans="1:168" ht="12.4" customHeight="1" x14ac:dyDescent="0.2">
      <c r="A40" s="101" t="str">
        <f>A18</f>
        <v>Row 1</v>
      </c>
      <c r="B40" s="102"/>
      <c r="C40" s="102">
        <f t="shared" ref="C40:N42" si="47">C18*C35</f>
        <v>0</v>
      </c>
      <c r="D40" s="102">
        <f t="shared" si="47"/>
        <v>0</v>
      </c>
      <c r="E40" s="102">
        <f t="shared" si="47"/>
        <v>0</v>
      </c>
      <c r="F40" s="102">
        <f t="shared" si="47"/>
        <v>0</v>
      </c>
      <c r="G40" s="102">
        <f t="shared" si="47"/>
        <v>0</v>
      </c>
      <c r="H40" s="102">
        <f t="shared" si="47"/>
        <v>0</v>
      </c>
      <c r="I40" s="102">
        <f t="shared" si="47"/>
        <v>0</v>
      </c>
      <c r="J40" s="102">
        <f t="shared" si="47"/>
        <v>0</v>
      </c>
      <c r="K40" s="102">
        <f t="shared" si="47"/>
        <v>0</v>
      </c>
      <c r="L40" s="102">
        <f t="shared" si="47"/>
        <v>0</v>
      </c>
      <c r="M40" s="102">
        <f t="shared" si="47"/>
        <v>0</v>
      </c>
      <c r="N40" s="102">
        <f t="shared" si="47"/>
        <v>0</v>
      </c>
      <c r="O40" s="103">
        <f>SUM(C40:N40)</f>
        <v>0</v>
      </c>
      <c r="P40" s="102"/>
      <c r="Q40" s="102">
        <f t="shared" ref="Q40:AB42" si="48">Q18*Q35</f>
        <v>0</v>
      </c>
      <c r="R40" s="102">
        <f t="shared" si="48"/>
        <v>0</v>
      </c>
      <c r="S40" s="102">
        <f t="shared" si="48"/>
        <v>0</v>
      </c>
      <c r="T40" s="102">
        <f t="shared" si="48"/>
        <v>0</v>
      </c>
      <c r="U40" s="102">
        <f t="shared" si="48"/>
        <v>0</v>
      </c>
      <c r="V40" s="102">
        <f t="shared" si="48"/>
        <v>0</v>
      </c>
      <c r="W40" s="102">
        <f t="shared" si="48"/>
        <v>0</v>
      </c>
      <c r="X40" s="102">
        <f t="shared" si="48"/>
        <v>0</v>
      </c>
      <c r="Y40" s="102">
        <f t="shared" si="48"/>
        <v>0</v>
      </c>
      <c r="Z40" s="102">
        <f t="shared" si="48"/>
        <v>0</v>
      </c>
      <c r="AA40" s="102">
        <f t="shared" si="48"/>
        <v>0</v>
      </c>
      <c r="AB40" s="102">
        <f t="shared" si="48"/>
        <v>0</v>
      </c>
      <c r="AC40" s="103">
        <f>SUM(Q40:AB40)</f>
        <v>0</v>
      </c>
      <c r="AD40" s="102">
        <f t="shared" ref="AD40:AG42" si="49">AD18*AD35</f>
        <v>0</v>
      </c>
      <c r="AE40" s="103" t="e">
        <f t="shared" si="49"/>
        <v>#REF!</v>
      </c>
      <c r="AF40" s="102" t="e">
        <f t="shared" si="49"/>
        <v>#REF!</v>
      </c>
      <c r="AG40" s="103" t="e">
        <f t="shared" si="49"/>
        <v>#REF!</v>
      </c>
      <c r="AH40"/>
      <c r="AI40"/>
      <c r="AJ40"/>
      <c r="AL40"/>
      <c r="AM40"/>
      <c r="AN40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CO40" s="504" t="s">
        <v>89</v>
      </c>
      <c r="CP40" s="479">
        <f t="shared" ref="CP40:DA42" si="50">C40</f>
        <v>0</v>
      </c>
      <c r="CQ40" s="479">
        <f t="shared" si="50"/>
        <v>0</v>
      </c>
      <c r="CR40" s="479">
        <f t="shared" si="50"/>
        <v>0</v>
      </c>
      <c r="CS40" s="479">
        <f t="shared" si="50"/>
        <v>0</v>
      </c>
      <c r="CT40" s="479">
        <f t="shared" si="50"/>
        <v>0</v>
      </c>
      <c r="CU40" s="479">
        <f t="shared" si="50"/>
        <v>0</v>
      </c>
      <c r="CV40" s="479">
        <f t="shared" si="50"/>
        <v>0</v>
      </c>
      <c r="CW40" s="479">
        <f t="shared" si="50"/>
        <v>0</v>
      </c>
      <c r="CX40" s="479">
        <f t="shared" si="50"/>
        <v>0</v>
      </c>
      <c r="CY40" s="479">
        <f t="shared" si="50"/>
        <v>0</v>
      </c>
      <c r="CZ40" s="479">
        <f t="shared" si="50"/>
        <v>0</v>
      </c>
      <c r="DA40" s="479">
        <f t="shared" si="50"/>
        <v>0</v>
      </c>
      <c r="DB40" s="460">
        <f>SUM(CP40:DA40)</f>
        <v>0</v>
      </c>
      <c r="DC40" s="480" t="e">
        <f>IF(PS_AnnualDetail,AC40,AD40)</f>
        <v>#REF!</v>
      </c>
      <c r="DD40" s="481" t="e">
        <f t="shared" ref="DD40:DF42" si="51">AE40</f>
        <v>#REF!</v>
      </c>
      <c r="DE40" s="480" t="e">
        <f t="shared" si="51"/>
        <v>#REF!</v>
      </c>
      <c r="DF40" s="481" t="e">
        <f t="shared" si="51"/>
        <v>#REF!</v>
      </c>
      <c r="DG40"/>
      <c r="DH40" s="102"/>
      <c r="DI40" s="102">
        <f t="shared" ref="DI40:DT42" si="52">C40-CP40</f>
        <v>0</v>
      </c>
      <c r="DJ40" s="102">
        <f t="shared" si="52"/>
        <v>0</v>
      </c>
      <c r="DK40" s="102">
        <f t="shared" si="52"/>
        <v>0</v>
      </c>
      <c r="DL40" s="102">
        <f t="shared" si="52"/>
        <v>0</v>
      </c>
      <c r="DM40" s="102">
        <f t="shared" si="52"/>
        <v>0</v>
      </c>
      <c r="DN40" s="102">
        <f t="shared" si="52"/>
        <v>0</v>
      </c>
      <c r="DO40" s="102">
        <f t="shared" si="52"/>
        <v>0</v>
      </c>
      <c r="DP40" s="102">
        <f t="shared" si="52"/>
        <v>0</v>
      </c>
      <c r="DQ40" s="102">
        <f t="shared" si="52"/>
        <v>0</v>
      </c>
      <c r="DR40" s="102">
        <f t="shared" si="52"/>
        <v>0</v>
      </c>
      <c r="DS40" s="102">
        <f t="shared" si="52"/>
        <v>0</v>
      </c>
      <c r="DT40" s="102">
        <f t="shared" si="52"/>
        <v>0</v>
      </c>
      <c r="DU40" s="103">
        <f>SUM(DI40:DT40)</f>
        <v>0</v>
      </c>
      <c r="DV40" s="102" t="e">
        <f>IF(PS_AnnualDetail,AC40,AD40)-DC40</f>
        <v>#REF!</v>
      </c>
      <c r="DW40" s="103" t="e">
        <f t="shared" ref="DW40:DY42" si="53">AE40-DD40</f>
        <v>#REF!</v>
      </c>
      <c r="DX40" s="102" t="e">
        <f t="shared" si="53"/>
        <v>#REF!</v>
      </c>
      <c r="DY40" s="103" t="e">
        <f t="shared" si="53"/>
        <v>#REF!</v>
      </c>
      <c r="DZ40"/>
    </row>
    <row r="41" spans="1:168" ht="12.4" customHeight="1" x14ac:dyDescent="0.2">
      <c r="A41" s="101" t="str">
        <f>A19</f>
        <v>Row 2</v>
      </c>
      <c r="B41" s="102"/>
      <c r="C41" s="102">
        <f t="shared" si="47"/>
        <v>0</v>
      </c>
      <c r="D41" s="102">
        <f t="shared" si="47"/>
        <v>0</v>
      </c>
      <c r="E41" s="102">
        <f t="shared" si="47"/>
        <v>0</v>
      </c>
      <c r="F41" s="102">
        <f t="shared" si="47"/>
        <v>0</v>
      </c>
      <c r="G41" s="102">
        <f t="shared" si="47"/>
        <v>0</v>
      </c>
      <c r="H41" s="102">
        <f t="shared" si="47"/>
        <v>0</v>
      </c>
      <c r="I41" s="102">
        <f t="shared" si="47"/>
        <v>0</v>
      </c>
      <c r="J41" s="102">
        <f t="shared" si="47"/>
        <v>0</v>
      </c>
      <c r="K41" s="102">
        <f t="shared" si="47"/>
        <v>0</v>
      </c>
      <c r="L41" s="102">
        <f t="shared" si="47"/>
        <v>0</v>
      </c>
      <c r="M41" s="102">
        <f t="shared" si="47"/>
        <v>0</v>
      </c>
      <c r="N41" s="102">
        <f t="shared" si="47"/>
        <v>0</v>
      </c>
      <c r="O41" s="103">
        <f>SUM(C41:N41)</f>
        <v>0</v>
      </c>
      <c r="P41" s="102"/>
      <c r="Q41" s="102">
        <f t="shared" si="48"/>
        <v>0</v>
      </c>
      <c r="R41" s="102">
        <f t="shared" si="48"/>
        <v>0</v>
      </c>
      <c r="S41" s="102">
        <f t="shared" si="48"/>
        <v>0</v>
      </c>
      <c r="T41" s="102">
        <f t="shared" si="48"/>
        <v>0</v>
      </c>
      <c r="U41" s="102">
        <f t="shared" si="48"/>
        <v>0</v>
      </c>
      <c r="V41" s="102">
        <f t="shared" si="48"/>
        <v>0</v>
      </c>
      <c r="W41" s="102">
        <f t="shared" si="48"/>
        <v>0</v>
      </c>
      <c r="X41" s="102">
        <f t="shared" si="48"/>
        <v>0</v>
      </c>
      <c r="Y41" s="102">
        <f t="shared" si="48"/>
        <v>0</v>
      </c>
      <c r="Z41" s="102">
        <f t="shared" si="48"/>
        <v>0</v>
      </c>
      <c r="AA41" s="102">
        <f t="shared" si="48"/>
        <v>0</v>
      </c>
      <c r="AB41" s="102">
        <f t="shared" si="48"/>
        <v>0</v>
      </c>
      <c r="AC41" s="103">
        <f>SUM(Q41:AB41)</f>
        <v>0</v>
      </c>
      <c r="AD41" s="102">
        <f t="shared" si="49"/>
        <v>0</v>
      </c>
      <c r="AE41" s="103" t="e">
        <f t="shared" si="49"/>
        <v>#REF!</v>
      </c>
      <c r="AF41" s="102" t="e">
        <f t="shared" si="49"/>
        <v>#REF!</v>
      </c>
      <c r="AG41" s="103" t="e">
        <f t="shared" si="49"/>
        <v>#REF!</v>
      </c>
      <c r="AH41"/>
      <c r="AI41"/>
      <c r="AJ41"/>
      <c r="AL41"/>
      <c r="AM41"/>
      <c r="AN41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CO41" s="505"/>
      <c r="CP41" s="482">
        <f t="shared" si="50"/>
        <v>0</v>
      </c>
      <c r="CQ41" s="482">
        <f t="shared" si="50"/>
        <v>0</v>
      </c>
      <c r="CR41" s="482">
        <f t="shared" si="50"/>
        <v>0</v>
      </c>
      <c r="CS41" s="482">
        <f t="shared" si="50"/>
        <v>0</v>
      </c>
      <c r="CT41" s="482">
        <f t="shared" si="50"/>
        <v>0</v>
      </c>
      <c r="CU41" s="482">
        <f t="shared" si="50"/>
        <v>0</v>
      </c>
      <c r="CV41" s="482">
        <f t="shared" si="50"/>
        <v>0</v>
      </c>
      <c r="CW41" s="482">
        <f t="shared" si="50"/>
        <v>0</v>
      </c>
      <c r="CX41" s="482">
        <f t="shared" si="50"/>
        <v>0</v>
      </c>
      <c r="CY41" s="482">
        <f t="shared" si="50"/>
        <v>0</v>
      </c>
      <c r="CZ41" s="482">
        <f t="shared" si="50"/>
        <v>0</v>
      </c>
      <c r="DA41" s="482">
        <f t="shared" si="50"/>
        <v>0</v>
      </c>
      <c r="DB41" s="88">
        <f>SUM(CP41:DA41)</f>
        <v>0</v>
      </c>
      <c r="DC41" s="483" t="e">
        <f>IF(PS_AnnualDetail,AC41,AD41)</f>
        <v>#REF!</v>
      </c>
      <c r="DD41" s="484" t="e">
        <f t="shared" si="51"/>
        <v>#REF!</v>
      </c>
      <c r="DE41" s="483" t="e">
        <f t="shared" si="51"/>
        <v>#REF!</v>
      </c>
      <c r="DF41" s="484" t="e">
        <f t="shared" si="51"/>
        <v>#REF!</v>
      </c>
      <c r="DG41"/>
      <c r="DH41" s="102"/>
      <c r="DI41" s="102">
        <f t="shared" si="52"/>
        <v>0</v>
      </c>
      <c r="DJ41" s="102">
        <f t="shared" si="52"/>
        <v>0</v>
      </c>
      <c r="DK41" s="102">
        <f t="shared" si="52"/>
        <v>0</v>
      </c>
      <c r="DL41" s="102">
        <f t="shared" si="52"/>
        <v>0</v>
      </c>
      <c r="DM41" s="102">
        <f t="shared" si="52"/>
        <v>0</v>
      </c>
      <c r="DN41" s="102">
        <f t="shared" si="52"/>
        <v>0</v>
      </c>
      <c r="DO41" s="102">
        <f t="shared" si="52"/>
        <v>0</v>
      </c>
      <c r="DP41" s="102">
        <f t="shared" si="52"/>
        <v>0</v>
      </c>
      <c r="DQ41" s="102">
        <f t="shared" si="52"/>
        <v>0</v>
      </c>
      <c r="DR41" s="102">
        <f t="shared" si="52"/>
        <v>0</v>
      </c>
      <c r="DS41" s="102">
        <f t="shared" si="52"/>
        <v>0</v>
      </c>
      <c r="DT41" s="102">
        <f t="shared" si="52"/>
        <v>0</v>
      </c>
      <c r="DU41" s="103">
        <f>SUM(DI41:DT41)</f>
        <v>0</v>
      </c>
      <c r="DV41" s="102" t="e">
        <f>IF(PS_AnnualDetail,AC41,AD41)-DC41</f>
        <v>#REF!</v>
      </c>
      <c r="DW41" s="103" t="e">
        <f t="shared" si="53"/>
        <v>#REF!</v>
      </c>
      <c r="DX41" s="102" t="e">
        <f t="shared" si="53"/>
        <v>#REF!</v>
      </c>
      <c r="DY41" s="103" t="e">
        <f t="shared" si="53"/>
        <v>#REF!</v>
      </c>
      <c r="DZ41"/>
    </row>
    <row r="42" spans="1:168" ht="13.15" customHeight="1" thickBot="1" x14ac:dyDescent="0.25">
      <c r="A42" s="128" t="str">
        <f>A20</f>
        <v>Row 3</v>
      </c>
      <c r="B42" s="102"/>
      <c r="C42" s="102">
        <f t="shared" si="47"/>
        <v>0</v>
      </c>
      <c r="D42" s="102">
        <f t="shared" si="47"/>
        <v>0</v>
      </c>
      <c r="E42" s="102">
        <f t="shared" si="47"/>
        <v>0</v>
      </c>
      <c r="F42" s="102">
        <f t="shared" si="47"/>
        <v>0</v>
      </c>
      <c r="G42" s="102">
        <f t="shared" si="47"/>
        <v>0</v>
      </c>
      <c r="H42" s="102">
        <f t="shared" si="47"/>
        <v>0</v>
      </c>
      <c r="I42" s="102">
        <f t="shared" si="47"/>
        <v>0</v>
      </c>
      <c r="J42" s="102">
        <f t="shared" si="47"/>
        <v>0</v>
      </c>
      <c r="K42" s="102">
        <f t="shared" si="47"/>
        <v>0</v>
      </c>
      <c r="L42" s="102">
        <f t="shared" si="47"/>
        <v>0</v>
      </c>
      <c r="M42" s="102">
        <f t="shared" si="47"/>
        <v>0</v>
      </c>
      <c r="N42" s="102">
        <f t="shared" si="47"/>
        <v>0</v>
      </c>
      <c r="O42" s="103">
        <f>SUM(C42:N42)</f>
        <v>0</v>
      </c>
      <c r="P42" s="102"/>
      <c r="Q42" s="102">
        <f t="shared" si="48"/>
        <v>0</v>
      </c>
      <c r="R42" s="102">
        <f t="shared" si="48"/>
        <v>0</v>
      </c>
      <c r="S42" s="102">
        <f t="shared" si="48"/>
        <v>0</v>
      </c>
      <c r="T42" s="102">
        <f t="shared" si="48"/>
        <v>0</v>
      </c>
      <c r="U42" s="102">
        <f t="shared" si="48"/>
        <v>0</v>
      </c>
      <c r="V42" s="102">
        <f t="shared" si="48"/>
        <v>0</v>
      </c>
      <c r="W42" s="102">
        <f t="shared" si="48"/>
        <v>0</v>
      </c>
      <c r="X42" s="102">
        <f t="shared" si="48"/>
        <v>0</v>
      </c>
      <c r="Y42" s="102">
        <f t="shared" si="48"/>
        <v>0</v>
      </c>
      <c r="Z42" s="102">
        <f t="shared" si="48"/>
        <v>0</v>
      </c>
      <c r="AA42" s="102">
        <f t="shared" si="48"/>
        <v>0</v>
      </c>
      <c r="AB42" s="102">
        <f t="shared" si="48"/>
        <v>0</v>
      </c>
      <c r="AC42" s="103">
        <f>SUM(Q42:AB42)</f>
        <v>0</v>
      </c>
      <c r="AD42" s="102">
        <f t="shared" si="49"/>
        <v>0</v>
      </c>
      <c r="AE42" s="103" t="e">
        <f t="shared" si="49"/>
        <v>#REF!</v>
      </c>
      <c r="AF42" s="102" t="e">
        <f t="shared" si="49"/>
        <v>#REF!</v>
      </c>
      <c r="AG42" s="103" t="e">
        <f t="shared" si="49"/>
        <v>#REF!</v>
      </c>
      <c r="AH42"/>
      <c r="AI42"/>
      <c r="AJ42"/>
      <c r="AL42"/>
      <c r="AM42"/>
      <c r="AN42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CO42" s="510" t="s">
        <v>89</v>
      </c>
      <c r="CP42" s="487">
        <f t="shared" si="50"/>
        <v>0</v>
      </c>
      <c r="CQ42" s="487">
        <f t="shared" si="50"/>
        <v>0</v>
      </c>
      <c r="CR42" s="487">
        <f t="shared" si="50"/>
        <v>0</v>
      </c>
      <c r="CS42" s="487">
        <f t="shared" si="50"/>
        <v>0</v>
      </c>
      <c r="CT42" s="487">
        <f t="shared" si="50"/>
        <v>0</v>
      </c>
      <c r="CU42" s="487">
        <f t="shared" si="50"/>
        <v>0</v>
      </c>
      <c r="CV42" s="487">
        <f t="shared" si="50"/>
        <v>0</v>
      </c>
      <c r="CW42" s="487">
        <f t="shared" si="50"/>
        <v>0</v>
      </c>
      <c r="CX42" s="487">
        <f t="shared" si="50"/>
        <v>0</v>
      </c>
      <c r="CY42" s="487">
        <f t="shared" si="50"/>
        <v>0</v>
      </c>
      <c r="CZ42" s="487">
        <f t="shared" si="50"/>
        <v>0</v>
      </c>
      <c r="DA42" s="487">
        <f t="shared" si="50"/>
        <v>0</v>
      </c>
      <c r="DB42" s="461">
        <f>SUM(CP42:DA42)</f>
        <v>0</v>
      </c>
      <c r="DC42" s="488" t="e">
        <f>IF(PS_AnnualDetail,AC42,AD42)</f>
        <v>#REF!</v>
      </c>
      <c r="DD42" s="489" t="e">
        <f t="shared" si="51"/>
        <v>#REF!</v>
      </c>
      <c r="DE42" s="488" t="e">
        <f t="shared" si="51"/>
        <v>#REF!</v>
      </c>
      <c r="DF42" s="489" t="e">
        <f t="shared" si="51"/>
        <v>#REF!</v>
      </c>
      <c r="DG42"/>
      <c r="DH42" s="102"/>
      <c r="DI42" s="102">
        <f t="shared" si="52"/>
        <v>0</v>
      </c>
      <c r="DJ42" s="102">
        <f t="shared" si="52"/>
        <v>0</v>
      </c>
      <c r="DK42" s="102">
        <f t="shared" si="52"/>
        <v>0</v>
      </c>
      <c r="DL42" s="102">
        <f t="shared" si="52"/>
        <v>0</v>
      </c>
      <c r="DM42" s="102">
        <f t="shared" si="52"/>
        <v>0</v>
      </c>
      <c r="DN42" s="102">
        <f t="shared" si="52"/>
        <v>0</v>
      </c>
      <c r="DO42" s="102">
        <f t="shared" si="52"/>
        <v>0</v>
      </c>
      <c r="DP42" s="102">
        <f t="shared" si="52"/>
        <v>0</v>
      </c>
      <c r="DQ42" s="102">
        <f t="shared" si="52"/>
        <v>0</v>
      </c>
      <c r="DR42" s="102">
        <f t="shared" si="52"/>
        <v>0</v>
      </c>
      <c r="DS42" s="102">
        <f t="shared" si="52"/>
        <v>0</v>
      </c>
      <c r="DT42" s="102">
        <f t="shared" si="52"/>
        <v>0</v>
      </c>
      <c r="DU42" s="103">
        <f>SUM(DI42:DT42)</f>
        <v>0</v>
      </c>
      <c r="DV42" s="102" t="e">
        <f>IF(PS_AnnualDetail,AC42,AD42)-DC42</f>
        <v>#REF!</v>
      </c>
      <c r="DW42" s="103" t="e">
        <f t="shared" si="53"/>
        <v>#REF!</v>
      </c>
      <c r="DX42" s="102" t="e">
        <f t="shared" si="53"/>
        <v>#REF!</v>
      </c>
      <c r="DY42" s="103" t="e">
        <f t="shared" si="53"/>
        <v>#REF!</v>
      </c>
      <c r="DZ42"/>
    </row>
    <row r="43" spans="1:168" ht="12.4" customHeight="1" x14ac:dyDescent="0.2">
      <c r="A43" s="105" t="e">
        <f>IF(PS_Nonprofit=TRUE,"Subtotal Direct Cost of Funding","Subtotal Direct Cost of Sales")</f>
        <v>#REF!</v>
      </c>
      <c r="B43" s="106"/>
      <c r="C43" s="106">
        <f t="shared" ref="C43:O43" si="54">SUM(C40:C42)</f>
        <v>0</v>
      </c>
      <c r="D43" s="106">
        <f t="shared" si="54"/>
        <v>0</v>
      </c>
      <c r="E43" s="106">
        <f t="shared" si="54"/>
        <v>0</v>
      </c>
      <c r="F43" s="106">
        <f t="shared" si="54"/>
        <v>0</v>
      </c>
      <c r="G43" s="106">
        <f t="shared" si="54"/>
        <v>0</v>
      </c>
      <c r="H43" s="106">
        <f t="shared" si="54"/>
        <v>0</v>
      </c>
      <c r="I43" s="106">
        <f t="shared" si="54"/>
        <v>0</v>
      </c>
      <c r="J43" s="106">
        <f t="shared" si="54"/>
        <v>0</v>
      </c>
      <c r="K43" s="106">
        <f t="shared" si="54"/>
        <v>0</v>
      </c>
      <c r="L43" s="106">
        <f t="shared" si="54"/>
        <v>0</v>
      </c>
      <c r="M43" s="106">
        <f t="shared" si="54"/>
        <v>0</v>
      </c>
      <c r="N43" s="106">
        <f t="shared" si="54"/>
        <v>0</v>
      </c>
      <c r="O43" s="107">
        <f t="shared" si="54"/>
        <v>0</v>
      </c>
      <c r="P43" s="106"/>
      <c r="Q43" s="106">
        <f t="shared" ref="Q43:AG43" si="55">SUM(Q40:Q42)</f>
        <v>0</v>
      </c>
      <c r="R43" s="106">
        <f t="shared" si="55"/>
        <v>0</v>
      </c>
      <c r="S43" s="106">
        <f t="shared" si="55"/>
        <v>0</v>
      </c>
      <c r="T43" s="106">
        <f t="shared" si="55"/>
        <v>0</v>
      </c>
      <c r="U43" s="106">
        <f t="shared" si="55"/>
        <v>0</v>
      </c>
      <c r="V43" s="106">
        <f t="shared" si="55"/>
        <v>0</v>
      </c>
      <c r="W43" s="106">
        <f t="shared" si="55"/>
        <v>0</v>
      </c>
      <c r="X43" s="106">
        <f t="shared" si="55"/>
        <v>0</v>
      </c>
      <c r="Y43" s="106">
        <f t="shared" si="55"/>
        <v>0</v>
      </c>
      <c r="Z43" s="106">
        <f t="shared" si="55"/>
        <v>0</v>
      </c>
      <c r="AA43" s="106">
        <f t="shared" si="55"/>
        <v>0</v>
      </c>
      <c r="AB43" s="106">
        <f t="shared" si="55"/>
        <v>0</v>
      </c>
      <c r="AC43" s="107">
        <f t="shared" si="55"/>
        <v>0</v>
      </c>
      <c r="AD43" s="106">
        <f t="shared" si="55"/>
        <v>0</v>
      </c>
      <c r="AE43" s="107" t="e">
        <f t="shared" si="55"/>
        <v>#REF!</v>
      </c>
      <c r="AF43" s="106" t="e">
        <f t="shared" si="55"/>
        <v>#REF!</v>
      </c>
      <c r="AG43" s="107" t="e">
        <f t="shared" si="55"/>
        <v>#REF!</v>
      </c>
      <c r="AH43"/>
      <c r="AI43"/>
      <c r="AJ43"/>
      <c r="AL43"/>
      <c r="AM43"/>
      <c r="AN43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CO43" s="106"/>
      <c r="CP43" s="106">
        <f t="shared" ref="CP43:DF43" si="56">SUM(CP40:CP42)</f>
        <v>0</v>
      </c>
      <c r="CQ43" s="106">
        <f t="shared" si="56"/>
        <v>0</v>
      </c>
      <c r="CR43" s="106">
        <f t="shared" si="56"/>
        <v>0</v>
      </c>
      <c r="CS43" s="106">
        <f t="shared" si="56"/>
        <v>0</v>
      </c>
      <c r="CT43" s="106">
        <f t="shared" si="56"/>
        <v>0</v>
      </c>
      <c r="CU43" s="106">
        <f t="shared" si="56"/>
        <v>0</v>
      </c>
      <c r="CV43" s="106">
        <f t="shared" si="56"/>
        <v>0</v>
      </c>
      <c r="CW43" s="106">
        <f t="shared" si="56"/>
        <v>0</v>
      </c>
      <c r="CX43" s="106">
        <f t="shared" si="56"/>
        <v>0</v>
      </c>
      <c r="CY43" s="106">
        <f t="shared" si="56"/>
        <v>0</v>
      </c>
      <c r="CZ43" s="106">
        <f t="shared" si="56"/>
        <v>0</v>
      </c>
      <c r="DA43" s="106">
        <f t="shared" si="56"/>
        <v>0</v>
      </c>
      <c r="DB43" s="107">
        <f t="shared" si="56"/>
        <v>0</v>
      </c>
      <c r="DC43" s="106" t="e">
        <f t="shared" si="56"/>
        <v>#REF!</v>
      </c>
      <c r="DD43" s="107" t="e">
        <f t="shared" si="56"/>
        <v>#REF!</v>
      </c>
      <c r="DE43" s="106" t="e">
        <f t="shared" si="56"/>
        <v>#REF!</v>
      </c>
      <c r="DF43" s="107" t="e">
        <f t="shared" si="56"/>
        <v>#REF!</v>
      </c>
      <c r="DG43"/>
      <c r="DH43" s="106"/>
      <c r="DI43" s="106">
        <f t="shared" ref="DI43:DY43" si="57">SUM(DI40:DI42)</f>
        <v>0</v>
      </c>
      <c r="DJ43" s="106">
        <f t="shared" si="57"/>
        <v>0</v>
      </c>
      <c r="DK43" s="106">
        <f t="shared" si="57"/>
        <v>0</v>
      </c>
      <c r="DL43" s="106">
        <f t="shared" si="57"/>
        <v>0</v>
      </c>
      <c r="DM43" s="106">
        <f t="shared" si="57"/>
        <v>0</v>
      </c>
      <c r="DN43" s="106">
        <f t="shared" si="57"/>
        <v>0</v>
      </c>
      <c r="DO43" s="106">
        <f t="shared" si="57"/>
        <v>0</v>
      </c>
      <c r="DP43" s="106">
        <f t="shared" si="57"/>
        <v>0</v>
      </c>
      <c r="DQ43" s="106">
        <f t="shared" si="57"/>
        <v>0</v>
      </c>
      <c r="DR43" s="106">
        <f t="shared" si="57"/>
        <v>0</v>
      </c>
      <c r="DS43" s="106">
        <f t="shared" si="57"/>
        <v>0</v>
      </c>
      <c r="DT43" s="106">
        <f t="shared" si="57"/>
        <v>0</v>
      </c>
      <c r="DU43" s="107">
        <f t="shared" si="57"/>
        <v>0</v>
      </c>
      <c r="DV43" s="106" t="e">
        <f t="shared" si="57"/>
        <v>#REF!</v>
      </c>
      <c r="DW43" s="107" t="e">
        <f t="shared" si="57"/>
        <v>#REF!</v>
      </c>
      <c r="DX43" s="106" t="e">
        <f t="shared" si="57"/>
        <v>#REF!</v>
      </c>
      <c r="DY43" s="107" t="e">
        <f t="shared" si="57"/>
        <v>#REF!</v>
      </c>
      <c r="DZ43"/>
    </row>
    <row r="44" spans="1:168" ht="12.4" customHeight="1" x14ac:dyDescent="0.2">
      <c r="A44"/>
      <c r="B44"/>
      <c r="P44"/>
      <c r="AC44"/>
      <c r="AH44"/>
      <c r="AI44"/>
      <c r="AJ44"/>
      <c r="AL44"/>
      <c r="AM44"/>
      <c r="AN44"/>
      <c r="CO44"/>
      <c r="DC44"/>
      <c r="DG44"/>
      <c r="DH44"/>
      <c r="DV44"/>
      <c r="DZ44"/>
    </row>
    <row r="46" spans="1:168" ht="12.4" customHeight="1" x14ac:dyDescent="0.2">
      <c r="A46"/>
      <c r="B46"/>
      <c r="C46"/>
      <c r="D46"/>
      <c r="E46"/>
      <c r="G46"/>
      <c r="H46"/>
      <c r="I46"/>
      <c r="J46"/>
      <c r="CP46" s="22"/>
    </row>
    <row r="47" spans="1:168" ht="12.4" customHeight="1" x14ac:dyDescent="0.2">
      <c r="A47"/>
      <c r="B47"/>
      <c r="C47"/>
      <c r="D47"/>
      <c r="E47"/>
      <c r="G47"/>
      <c r="H47"/>
      <c r="I47"/>
      <c r="J47"/>
      <c r="CP47" s="22"/>
    </row>
    <row r="48" spans="1:168" ht="12.4" customHeight="1" x14ac:dyDescent="0.2">
      <c r="A48"/>
      <c r="B48"/>
      <c r="C48"/>
      <c r="D48"/>
      <c r="E48"/>
      <c r="G48"/>
      <c r="H48"/>
      <c r="I48"/>
      <c r="J48"/>
    </row>
    <row r="49" spans="1:12" ht="12.4" customHeight="1" x14ac:dyDescent="0.2">
      <c r="A49"/>
      <c r="B49" s="22"/>
      <c r="D49"/>
      <c r="E49"/>
      <c r="G49"/>
      <c r="H49"/>
      <c r="I49"/>
      <c r="J49"/>
    </row>
    <row r="50" spans="1:12" ht="12.4" customHeight="1" x14ac:dyDescent="0.2">
      <c r="A50"/>
      <c r="D50"/>
      <c r="E50" s="22"/>
      <c r="G50"/>
      <c r="H50"/>
      <c r="I50"/>
      <c r="J50"/>
    </row>
    <row r="51" spans="1:12" ht="12.4" customHeight="1" x14ac:dyDescent="0.2">
      <c r="A51"/>
      <c r="D51"/>
      <c r="E51" s="22"/>
      <c r="G51"/>
      <c r="H51"/>
      <c r="I51"/>
      <c r="J51"/>
    </row>
    <row r="52" spans="1:12" ht="12.4" customHeight="1" x14ac:dyDescent="0.2">
      <c r="A52"/>
      <c r="D52" s="22"/>
      <c r="G52"/>
      <c r="H52"/>
      <c r="I52"/>
      <c r="J52"/>
    </row>
    <row r="53" spans="1:12" ht="12.4" customHeight="1" x14ac:dyDescent="0.2">
      <c r="A53"/>
      <c r="G53"/>
      <c r="H53"/>
      <c r="I53"/>
      <c r="J53"/>
    </row>
    <row r="54" spans="1:12" ht="12.4" customHeight="1" x14ac:dyDescent="0.2">
      <c r="A54"/>
      <c r="G54"/>
      <c r="H54"/>
      <c r="I54"/>
      <c r="J54"/>
    </row>
    <row r="55" spans="1:12" ht="12.4" customHeight="1" x14ac:dyDescent="0.2">
      <c r="A55"/>
      <c r="G55"/>
      <c r="H55"/>
      <c r="I55"/>
      <c r="J55"/>
    </row>
    <row r="56" spans="1:12" ht="12.4" customHeight="1" x14ac:dyDescent="0.2">
      <c r="A56"/>
      <c r="G56"/>
      <c r="H56"/>
      <c r="I56"/>
      <c r="J56"/>
    </row>
    <row r="57" spans="1:12" ht="12.4" customHeight="1" x14ac:dyDescent="0.2">
      <c r="A57"/>
      <c r="G57"/>
      <c r="H57"/>
      <c r="I57"/>
      <c r="J57"/>
    </row>
    <row r="58" spans="1:12" ht="12.4" customHeight="1" x14ac:dyDescent="0.2">
      <c r="A58"/>
      <c r="G58"/>
      <c r="H58"/>
      <c r="I58"/>
      <c r="J58"/>
    </row>
    <row r="59" spans="1:12" ht="12.4" customHeight="1" x14ac:dyDescent="0.2">
      <c r="A59"/>
      <c r="J59"/>
    </row>
    <row r="60" spans="1:12" ht="12.4" customHeight="1" x14ac:dyDescent="0.2">
      <c r="A60"/>
    </row>
    <row r="63" spans="1:12" ht="12.4" customHeight="1" x14ac:dyDescent="0.2">
      <c r="G63"/>
      <c r="H63"/>
      <c r="I63"/>
      <c r="J63"/>
      <c r="K63"/>
      <c r="L63"/>
    </row>
    <row r="64" spans="1:12" ht="12.4" customHeight="1" x14ac:dyDescent="0.2">
      <c r="G64"/>
      <c r="H64"/>
      <c r="I64"/>
      <c r="J64"/>
      <c r="K64"/>
      <c r="L64"/>
    </row>
    <row r="65" spans="7:12" ht="12.4" customHeight="1" x14ac:dyDescent="0.2">
      <c r="G65"/>
      <c r="H65"/>
      <c r="I65"/>
      <c r="J65"/>
      <c r="K65"/>
      <c r="L65"/>
    </row>
    <row r="66" spans="7:12" ht="12.4" customHeight="1" x14ac:dyDescent="0.2">
      <c r="G66"/>
      <c r="H66"/>
      <c r="I66"/>
      <c r="J66"/>
      <c r="K66"/>
      <c r="L66"/>
    </row>
    <row r="67" spans="7:12" ht="12.4" customHeight="1" x14ac:dyDescent="0.2">
      <c r="G67"/>
      <c r="H67"/>
      <c r="I67"/>
      <c r="J67"/>
      <c r="K67"/>
      <c r="L67"/>
    </row>
    <row r="68" spans="7:12" ht="12.4" customHeight="1" x14ac:dyDescent="0.2">
      <c r="G68"/>
      <c r="H68"/>
      <c r="I68"/>
      <c r="J68"/>
      <c r="K68"/>
      <c r="L68"/>
    </row>
    <row r="69" spans="7:12" ht="12.4" customHeight="1" x14ac:dyDescent="0.2">
      <c r="G69"/>
      <c r="H69"/>
      <c r="I69"/>
      <c r="J69"/>
      <c r="K69"/>
      <c r="L69"/>
    </row>
    <row r="70" spans="7:12" ht="12.4" customHeight="1" x14ac:dyDescent="0.2">
      <c r="G70"/>
      <c r="H70"/>
      <c r="I70"/>
      <c r="J70"/>
      <c r="K70"/>
      <c r="L70"/>
    </row>
    <row r="71" spans="7:12" ht="12.4" customHeight="1" x14ac:dyDescent="0.2">
      <c r="G71"/>
      <c r="H71"/>
      <c r="I71"/>
      <c r="J71"/>
      <c r="K71"/>
      <c r="L71"/>
    </row>
    <row r="72" spans="7:12" ht="12.4" customHeight="1" x14ac:dyDescent="0.2">
      <c r="G72"/>
      <c r="H72"/>
      <c r="I72"/>
      <c r="J72"/>
      <c r="K72"/>
      <c r="L72"/>
    </row>
    <row r="73" spans="7:12" ht="12.4" customHeight="1" x14ac:dyDescent="0.2">
      <c r="G73"/>
      <c r="H73"/>
      <c r="I73"/>
      <c r="J73"/>
      <c r="K73"/>
      <c r="L73"/>
    </row>
    <row r="74" spans="7:12" ht="12.4" customHeight="1" x14ac:dyDescent="0.2">
      <c r="G74"/>
      <c r="H74"/>
      <c r="I74"/>
      <c r="J74"/>
      <c r="K74"/>
      <c r="L74"/>
    </row>
    <row r="75" spans="7:12" ht="12.4" customHeight="1" x14ac:dyDescent="0.2">
      <c r="G75"/>
      <c r="H75"/>
      <c r="I75"/>
      <c r="J75"/>
      <c r="K75"/>
      <c r="L75"/>
    </row>
    <row r="76" spans="7:12" ht="12.4" customHeight="1" x14ac:dyDescent="0.2">
      <c r="G76"/>
      <c r="H76"/>
      <c r="I76"/>
      <c r="J76"/>
      <c r="K76"/>
      <c r="L76"/>
    </row>
    <row r="77" spans="7:12" ht="12.4" customHeight="1" x14ac:dyDescent="0.2">
      <c r="G77"/>
      <c r="H77"/>
      <c r="I77"/>
      <c r="J77"/>
      <c r="K77"/>
      <c r="L77"/>
    </row>
    <row r="78" spans="7:12" ht="12.4" customHeight="1" x14ac:dyDescent="0.2">
      <c r="G78"/>
      <c r="H78"/>
      <c r="I78"/>
      <c r="J78"/>
      <c r="K78"/>
      <c r="L78"/>
    </row>
  </sheetData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499"/>
  <sheetViews>
    <sheetView showGridLines="0" workbookViewId="0">
      <pane xSplit="1" ySplit="2" topLeftCell="B27" activePane="bottomRight" state="frozenSplit"/>
      <selection pane="topRight"/>
      <selection pane="bottomLeft"/>
      <selection pane="bottomRight" activeCell="A31" sqref="A31"/>
    </sheetView>
  </sheetViews>
  <sheetFormatPr defaultColWidth="0" defaultRowHeight="12.4" customHeight="1" outlineLevelCol="1" x14ac:dyDescent="0.2"/>
  <cols>
    <col min="1" max="1" width="35.75" style="1" customWidth="1"/>
    <col min="2" max="2" width="13.625" style="1" customWidth="1"/>
    <col min="3" max="14" width="13.625" style="1" customWidth="1" outlineLevel="1"/>
    <col min="15" max="15" width="13.625" style="1" customWidth="1"/>
    <col min="16" max="27" width="13.625" style="1" customWidth="1" outlineLevel="1"/>
    <col min="28" max="31" width="13.625" style="1" customWidth="1"/>
    <col min="32" max="36" width="13.625" style="1" customWidth="1" outlineLevel="1"/>
    <col min="37" max="37" width="6.625" style="1" customWidth="1"/>
    <col min="38" max="78" width="9" style="1" hidden="1" customWidth="1"/>
    <col min="79" max="88" width="9.125" style="1" hidden="1" customWidth="1"/>
    <col min="89" max="89" width="10.375" style="1" hidden="1" customWidth="1"/>
    <col min="90" max="90" width="9.125" style="1" hidden="1" customWidth="1"/>
    <col min="91" max="108" width="13.625" style="1" hidden="1" customWidth="1"/>
    <col min="109" max="109" width="45.625" style="1" hidden="1" customWidth="1"/>
    <col min="110" max="127" width="13.625" style="1" hidden="1" customWidth="1"/>
    <col min="128" max="128" width="40" style="1" hidden="1" customWidth="1"/>
    <col min="129" max="16384" width="9" style="1" hidden="1"/>
  </cols>
  <sheetData>
    <row r="1" spans="1:37" s="75" customFormat="1" ht="16.149999999999999" customHeight="1" x14ac:dyDescent="0.2">
      <c r="A1" s="76" t="s">
        <v>319</v>
      </c>
      <c r="B1" s="77"/>
      <c r="C1" s="78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9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79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3.15" customHeight="1" x14ac:dyDescent="0.2">
      <c r="A2" s="675"/>
      <c r="B2" s="72"/>
      <c r="C2" s="697">
        <v>40909</v>
      </c>
      <c r="D2" s="697">
        <v>40940</v>
      </c>
      <c r="E2" s="697">
        <v>40969</v>
      </c>
      <c r="F2" s="697">
        <v>41000</v>
      </c>
      <c r="G2" s="697">
        <v>41030</v>
      </c>
      <c r="H2" s="697">
        <v>41061</v>
      </c>
      <c r="I2" s="697">
        <v>41091</v>
      </c>
      <c r="J2" s="697">
        <v>41122</v>
      </c>
      <c r="K2" s="697">
        <v>41153</v>
      </c>
      <c r="L2" s="697">
        <v>41183</v>
      </c>
      <c r="M2" s="697">
        <v>41214</v>
      </c>
      <c r="N2" s="697">
        <v>41244</v>
      </c>
      <c r="O2" s="471">
        <v>2012</v>
      </c>
      <c r="P2" s="697">
        <v>41275</v>
      </c>
      <c r="Q2" s="697">
        <v>41306</v>
      </c>
      <c r="R2" s="697">
        <v>41334</v>
      </c>
      <c r="S2" s="697">
        <v>41365</v>
      </c>
      <c r="T2" s="697">
        <v>41395</v>
      </c>
      <c r="U2" s="697">
        <v>41426</v>
      </c>
      <c r="V2" s="697">
        <v>41456</v>
      </c>
      <c r="W2" s="697">
        <v>41487</v>
      </c>
      <c r="X2" s="697">
        <v>41518</v>
      </c>
      <c r="Y2" s="697">
        <v>41548</v>
      </c>
      <c r="Z2" s="697">
        <v>41579</v>
      </c>
      <c r="AA2" s="697">
        <v>41609</v>
      </c>
      <c r="AB2" s="471">
        <v>2013</v>
      </c>
      <c r="AC2" s="470">
        <v>2014</v>
      </c>
      <c r="AD2" s="470">
        <v>2015</v>
      </c>
      <c r="AE2" s="470">
        <v>2016</v>
      </c>
      <c r="AF2" s="470">
        <v>2017</v>
      </c>
      <c r="AG2" s="470">
        <v>2018</v>
      </c>
      <c r="AH2" s="470">
        <v>2019</v>
      </c>
      <c r="AI2" s="470">
        <v>2020</v>
      </c>
      <c r="AJ2" s="470">
        <v>2021</v>
      </c>
      <c r="AK2" s="470"/>
    </row>
    <row r="3" spans="1:37" s="674" customFormat="1" ht="13.15" customHeight="1" x14ac:dyDescent="0.2">
      <c r="A3" s="676" t="s">
        <v>440</v>
      </c>
      <c r="B3" s="677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9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9"/>
      <c r="AC3" s="679"/>
      <c r="AD3" s="679"/>
      <c r="AE3" s="679"/>
    </row>
    <row r="4" spans="1:37" s="674" customFormat="1" ht="13.15" customHeight="1" x14ac:dyDescent="0.2">
      <c r="A4" s="674" t="s">
        <v>250</v>
      </c>
      <c r="B4" s="681"/>
      <c r="C4" s="690">
        <f>$O4/12</f>
        <v>37500</v>
      </c>
      <c r="D4" s="690">
        <f t="shared" ref="D4:N4" si="0">$O4/12</f>
        <v>37500</v>
      </c>
      <c r="E4" s="690">
        <f t="shared" si="0"/>
        <v>37500</v>
      </c>
      <c r="F4" s="690">
        <f t="shared" si="0"/>
        <v>37500</v>
      </c>
      <c r="G4" s="690">
        <f t="shared" si="0"/>
        <v>37500</v>
      </c>
      <c r="H4" s="690">
        <f t="shared" si="0"/>
        <v>37500</v>
      </c>
      <c r="I4" s="690">
        <f t="shared" si="0"/>
        <v>37500</v>
      </c>
      <c r="J4" s="690">
        <f t="shared" si="0"/>
        <v>37500</v>
      </c>
      <c r="K4" s="690">
        <f t="shared" si="0"/>
        <v>37500</v>
      </c>
      <c r="L4" s="690">
        <f t="shared" si="0"/>
        <v>37500</v>
      </c>
      <c r="M4" s="690">
        <f t="shared" si="0"/>
        <v>37500</v>
      </c>
      <c r="N4" s="690">
        <f t="shared" si="0"/>
        <v>37500</v>
      </c>
      <c r="O4" s="689">
        <f>450000</f>
        <v>450000</v>
      </c>
      <c r="P4" s="690">
        <f>$AB4/12</f>
        <v>39375</v>
      </c>
      <c r="Q4" s="690">
        <f t="shared" ref="Q4:AA4" si="1">$AB4/12</f>
        <v>39375</v>
      </c>
      <c r="R4" s="690">
        <f t="shared" si="1"/>
        <v>39375</v>
      </c>
      <c r="S4" s="690">
        <f t="shared" si="1"/>
        <v>39375</v>
      </c>
      <c r="T4" s="690">
        <f t="shared" si="1"/>
        <v>39375</v>
      </c>
      <c r="U4" s="690">
        <f t="shared" si="1"/>
        <v>39375</v>
      </c>
      <c r="V4" s="690">
        <f t="shared" si="1"/>
        <v>39375</v>
      </c>
      <c r="W4" s="690">
        <f t="shared" si="1"/>
        <v>39375</v>
      </c>
      <c r="X4" s="690">
        <f t="shared" si="1"/>
        <v>39375</v>
      </c>
      <c r="Y4" s="690">
        <f t="shared" si="1"/>
        <v>39375</v>
      </c>
      <c r="Z4" s="690">
        <f t="shared" si="1"/>
        <v>39375</v>
      </c>
      <c r="AA4" s="690">
        <f t="shared" si="1"/>
        <v>39375</v>
      </c>
      <c r="AB4" s="690">
        <f>O4*(1+AB5)</f>
        <v>472500</v>
      </c>
      <c r="AC4" s="690">
        <f>AB4*(1+AC5)</f>
        <v>496125</v>
      </c>
      <c r="AD4" s="690">
        <f t="shared" ref="AD4:AJ4" si="2">AC4*(1+AD5)</f>
        <v>515970</v>
      </c>
      <c r="AE4" s="690">
        <f t="shared" si="2"/>
        <v>531449.1</v>
      </c>
      <c r="AF4" s="690">
        <f t="shared" si="2"/>
        <v>542078.08199999994</v>
      </c>
      <c r="AG4" s="690">
        <f t="shared" si="2"/>
        <v>547498.86281999992</v>
      </c>
      <c r="AH4" s="690">
        <f t="shared" si="2"/>
        <v>547498.86281999992</v>
      </c>
      <c r="AI4" s="690">
        <f t="shared" si="2"/>
        <v>547498.86281999992</v>
      </c>
      <c r="AJ4" s="690">
        <f t="shared" si="2"/>
        <v>547498.86281999992</v>
      </c>
    </row>
    <row r="5" spans="1:37" s="688" customFormat="1" ht="13.15" customHeight="1" x14ac:dyDescent="0.2">
      <c r="A5" s="680" t="s">
        <v>324</v>
      </c>
      <c r="B5" s="681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92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>
        <v>0.05</v>
      </c>
      <c r="AC5" s="687">
        <v>0.05</v>
      </c>
      <c r="AD5" s="687">
        <f>AC5-1%</f>
        <v>0.04</v>
      </c>
      <c r="AE5" s="687">
        <f>AD5-1%</f>
        <v>0.03</v>
      </c>
      <c r="AF5" s="687">
        <f>AE5-1%</f>
        <v>1.9999999999999997E-2</v>
      </c>
      <c r="AG5" s="687">
        <f>AF5-1%</f>
        <v>9.9999999999999967E-3</v>
      </c>
      <c r="AH5" s="687">
        <f>AG5-1%</f>
        <v>0</v>
      </c>
      <c r="AI5" s="688">
        <f>AH5</f>
        <v>0</v>
      </c>
      <c r="AJ5" s="688">
        <f>AI5</f>
        <v>0</v>
      </c>
    </row>
    <row r="6" spans="1:37" s="688" customFormat="1" ht="13.15" customHeight="1" x14ac:dyDescent="0.2">
      <c r="A6" s="680" t="s">
        <v>248</v>
      </c>
      <c r="B6" s="681"/>
      <c r="C6" s="687">
        <v>0</v>
      </c>
      <c r="D6" s="687">
        <v>0</v>
      </c>
      <c r="E6" s="687">
        <v>0</v>
      </c>
      <c r="F6" s="687">
        <v>0</v>
      </c>
      <c r="G6" s="687">
        <v>0</v>
      </c>
      <c r="H6" s="687">
        <v>0</v>
      </c>
      <c r="I6" s="687">
        <v>0</v>
      </c>
      <c r="J6" s="687">
        <v>0</v>
      </c>
      <c r="K6" s="687">
        <v>0</v>
      </c>
      <c r="L6" s="687">
        <v>0</v>
      </c>
      <c r="M6" s="687">
        <v>0</v>
      </c>
      <c r="N6" s="687">
        <v>0</v>
      </c>
      <c r="O6" s="692">
        <f>N6</f>
        <v>0</v>
      </c>
      <c r="P6" s="687">
        <v>1E-3</v>
      </c>
      <c r="Q6" s="687">
        <f t="shared" ref="Q6:W6" si="3">P6+0.1%</f>
        <v>2E-3</v>
      </c>
      <c r="R6" s="687">
        <f t="shared" si="3"/>
        <v>3.0000000000000001E-3</v>
      </c>
      <c r="S6" s="687">
        <f t="shared" si="3"/>
        <v>4.0000000000000001E-3</v>
      </c>
      <c r="T6" s="687">
        <f t="shared" si="3"/>
        <v>5.0000000000000001E-3</v>
      </c>
      <c r="U6" s="687">
        <f t="shared" si="3"/>
        <v>6.0000000000000001E-3</v>
      </c>
      <c r="V6" s="687">
        <f t="shared" si="3"/>
        <v>7.0000000000000001E-3</v>
      </c>
      <c r="W6" s="687">
        <f t="shared" si="3"/>
        <v>8.0000000000000002E-3</v>
      </c>
      <c r="X6" s="687">
        <f>W6+0.1%</f>
        <v>9.0000000000000011E-3</v>
      </c>
      <c r="Y6" s="687">
        <f>X6+0.1%</f>
        <v>1.0000000000000002E-2</v>
      </c>
      <c r="Z6" s="687">
        <f>Y6+0.1%</f>
        <v>1.1000000000000003E-2</v>
      </c>
      <c r="AA6" s="687">
        <f>Z6+0.1%</f>
        <v>1.2000000000000004E-2</v>
      </c>
      <c r="AB6" s="692">
        <f>AA6</f>
        <v>1.2000000000000004E-2</v>
      </c>
      <c r="AC6" s="687">
        <f>AA6*2</f>
        <v>2.4000000000000007E-2</v>
      </c>
      <c r="AD6" s="687">
        <f>AC6*2</f>
        <v>4.8000000000000015E-2</v>
      </c>
      <c r="AE6" s="687">
        <f>AD6*2</f>
        <v>9.600000000000003E-2</v>
      </c>
      <c r="AF6" s="688">
        <v>0.12</v>
      </c>
      <c r="AG6" s="688">
        <f>AF6+2%</f>
        <v>0.13999999999999999</v>
      </c>
      <c r="AH6" s="688">
        <f>AG6+2%</f>
        <v>0.15999999999999998</v>
      </c>
      <c r="AI6" s="688">
        <f>AH6+2%</f>
        <v>0.17999999999999997</v>
      </c>
      <c r="AJ6" s="688">
        <f>AI6+2%</f>
        <v>0.19999999999999996</v>
      </c>
    </row>
    <row r="7" spans="1:37" s="674" customFormat="1" ht="13.15" customHeight="1" x14ac:dyDescent="0.2">
      <c r="A7" s="680" t="s">
        <v>251</v>
      </c>
      <c r="B7" s="681"/>
      <c r="C7" s="690">
        <f>C4*C6</f>
        <v>0</v>
      </c>
      <c r="D7" s="690">
        <f t="shared" ref="D7:N7" si="4">D4*D6</f>
        <v>0</v>
      </c>
      <c r="E7" s="690">
        <f t="shared" si="4"/>
        <v>0</v>
      </c>
      <c r="F7" s="690">
        <f t="shared" si="4"/>
        <v>0</v>
      </c>
      <c r="G7" s="690">
        <f t="shared" si="4"/>
        <v>0</v>
      </c>
      <c r="H7" s="690">
        <f t="shared" si="4"/>
        <v>0</v>
      </c>
      <c r="I7" s="690">
        <f t="shared" si="4"/>
        <v>0</v>
      </c>
      <c r="J7" s="690">
        <f t="shared" si="4"/>
        <v>0</v>
      </c>
      <c r="K7" s="690">
        <f t="shared" si="4"/>
        <v>0</v>
      </c>
      <c r="L7" s="690">
        <f t="shared" si="4"/>
        <v>0</v>
      </c>
      <c r="M7" s="690">
        <f t="shared" si="4"/>
        <v>0</v>
      </c>
      <c r="N7" s="690">
        <f t="shared" si="4"/>
        <v>0</v>
      </c>
      <c r="O7" s="683">
        <f>SUM(C7:N7)</f>
        <v>0</v>
      </c>
      <c r="P7" s="690">
        <f t="shared" ref="P7:AA7" si="5">P4*P6</f>
        <v>39.375</v>
      </c>
      <c r="Q7" s="690">
        <f t="shared" si="5"/>
        <v>78.75</v>
      </c>
      <c r="R7" s="690">
        <f t="shared" si="5"/>
        <v>118.125</v>
      </c>
      <c r="S7" s="690">
        <f t="shared" si="5"/>
        <v>157.5</v>
      </c>
      <c r="T7" s="690">
        <f t="shared" si="5"/>
        <v>196.875</v>
      </c>
      <c r="U7" s="690">
        <f t="shared" si="5"/>
        <v>236.25</v>
      </c>
      <c r="V7" s="690">
        <f t="shared" si="5"/>
        <v>275.625</v>
      </c>
      <c r="W7" s="690">
        <f t="shared" si="5"/>
        <v>315</v>
      </c>
      <c r="X7" s="690">
        <f t="shared" si="5"/>
        <v>354.37500000000006</v>
      </c>
      <c r="Y7" s="690">
        <f t="shared" si="5"/>
        <v>393.75000000000006</v>
      </c>
      <c r="Z7" s="690">
        <f t="shared" si="5"/>
        <v>433.12500000000011</v>
      </c>
      <c r="AA7" s="690">
        <f t="shared" si="5"/>
        <v>472.50000000000017</v>
      </c>
      <c r="AB7" s="690">
        <f>SUM(P7:AA7)</f>
        <v>3071.25</v>
      </c>
      <c r="AC7" s="690">
        <f>AC4*AVERAGE(AA6,AC6)</f>
        <v>8930.2500000000036</v>
      </c>
      <c r="AD7" s="690">
        <f t="shared" ref="AD7:AJ7" si="6">AD4*AVERAGE(AC6,AD6)</f>
        <v>18574.920000000006</v>
      </c>
      <c r="AE7" s="690">
        <f t="shared" si="6"/>
        <v>38264.335200000009</v>
      </c>
      <c r="AF7" s="690">
        <f t="shared" si="6"/>
        <v>58544.432855999999</v>
      </c>
      <c r="AG7" s="690">
        <f t="shared" si="6"/>
        <v>71174.852166599987</v>
      </c>
      <c r="AH7" s="690">
        <f t="shared" si="6"/>
        <v>82124.829422999974</v>
      </c>
      <c r="AI7" s="690">
        <f t="shared" si="6"/>
        <v>93074.806679399975</v>
      </c>
      <c r="AJ7" s="690">
        <f t="shared" si="6"/>
        <v>104024.78393579996</v>
      </c>
    </row>
    <row r="8" spans="1:37" s="674" customFormat="1" ht="13.15" customHeight="1" x14ac:dyDescent="0.2">
      <c r="A8" s="680" t="s">
        <v>249</v>
      </c>
      <c r="B8" s="681"/>
      <c r="C8" s="686">
        <v>2.5</v>
      </c>
      <c r="D8" s="686">
        <f>C8</f>
        <v>2.5</v>
      </c>
      <c r="E8" s="686">
        <f t="shared" ref="E8:N8" si="7">D8</f>
        <v>2.5</v>
      </c>
      <c r="F8" s="686">
        <f t="shared" si="7"/>
        <v>2.5</v>
      </c>
      <c r="G8" s="686">
        <f t="shared" si="7"/>
        <v>2.5</v>
      </c>
      <c r="H8" s="686">
        <f t="shared" si="7"/>
        <v>2.5</v>
      </c>
      <c r="I8" s="686">
        <f t="shared" si="7"/>
        <v>2.5</v>
      </c>
      <c r="J8" s="686">
        <f t="shared" si="7"/>
        <v>2.5</v>
      </c>
      <c r="K8" s="686">
        <f t="shared" si="7"/>
        <v>2.5</v>
      </c>
      <c r="L8" s="686">
        <f t="shared" si="7"/>
        <v>2.5</v>
      </c>
      <c r="M8" s="686">
        <f t="shared" si="7"/>
        <v>2.5</v>
      </c>
      <c r="N8" s="686">
        <f t="shared" si="7"/>
        <v>2.5</v>
      </c>
      <c r="O8" s="685">
        <f>N8</f>
        <v>2.5</v>
      </c>
      <c r="P8" s="686">
        <f>N8</f>
        <v>2.5</v>
      </c>
      <c r="Q8" s="686">
        <f>P8</f>
        <v>2.5</v>
      </c>
      <c r="R8" s="686">
        <f t="shared" ref="R8:AA8" si="8">Q8</f>
        <v>2.5</v>
      </c>
      <c r="S8" s="686">
        <f t="shared" si="8"/>
        <v>2.5</v>
      </c>
      <c r="T8" s="686">
        <f t="shared" si="8"/>
        <v>2.5</v>
      </c>
      <c r="U8" s="686">
        <f t="shared" si="8"/>
        <v>2.5</v>
      </c>
      <c r="V8" s="686">
        <f t="shared" si="8"/>
        <v>2.5</v>
      </c>
      <c r="W8" s="686">
        <f t="shared" si="8"/>
        <v>2.5</v>
      </c>
      <c r="X8" s="686">
        <f t="shared" si="8"/>
        <v>2.5</v>
      </c>
      <c r="Y8" s="686">
        <f t="shared" si="8"/>
        <v>2.5</v>
      </c>
      <c r="Z8" s="686">
        <f t="shared" si="8"/>
        <v>2.5</v>
      </c>
      <c r="AA8" s="686">
        <f t="shared" si="8"/>
        <v>2.5</v>
      </c>
      <c r="AB8" s="686">
        <f>AA8</f>
        <v>2.5</v>
      </c>
      <c r="AC8" s="686">
        <f>AB8</f>
        <v>2.5</v>
      </c>
      <c r="AD8" s="686">
        <f t="shared" ref="AD8:AJ8" si="9">AC8</f>
        <v>2.5</v>
      </c>
      <c r="AE8" s="686">
        <f t="shared" si="9"/>
        <v>2.5</v>
      </c>
      <c r="AF8" s="686">
        <f t="shared" si="9"/>
        <v>2.5</v>
      </c>
      <c r="AG8" s="686">
        <f t="shared" si="9"/>
        <v>2.5</v>
      </c>
      <c r="AH8" s="686">
        <f t="shared" si="9"/>
        <v>2.5</v>
      </c>
      <c r="AI8" s="686">
        <f t="shared" si="9"/>
        <v>2.5</v>
      </c>
      <c r="AJ8" s="686">
        <f t="shared" si="9"/>
        <v>2.5</v>
      </c>
    </row>
    <row r="9" spans="1:37" s="674" customFormat="1" ht="13.15" customHeight="1" x14ac:dyDescent="0.2">
      <c r="A9" s="680" t="s">
        <v>255</v>
      </c>
      <c r="B9" s="681"/>
      <c r="C9" s="690">
        <f>C7*C8</f>
        <v>0</v>
      </c>
      <c r="D9" s="690">
        <f t="shared" ref="D9:N9" si="10">D7*D8</f>
        <v>0</v>
      </c>
      <c r="E9" s="690">
        <f t="shared" si="10"/>
        <v>0</v>
      </c>
      <c r="F9" s="690">
        <f t="shared" si="10"/>
        <v>0</v>
      </c>
      <c r="G9" s="690">
        <f t="shared" si="10"/>
        <v>0</v>
      </c>
      <c r="H9" s="690">
        <f t="shared" si="10"/>
        <v>0</v>
      </c>
      <c r="I9" s="690">
        <f t="shared" si="10"/>
        <v>0</v>
      </c>
      <c r="J9" s="690">
        <f t="shared" si="10"/>
        <v>0</v>
      </c>
      <c r="K9" s="690">
        <f t="shared" si="10"/>
        <v>0</v>
      </c>
      <c r="L9" s="690">
        <f t="shared" si="10"/>
        <v>0</v>
      </c>
      <c r="M9" s="690">
        <f t="shared" si="10"/>
        <v>0</v>
      </c>
      <c r="N9" s="690">
        <f t="shared" si="10"/>
        <v>0</v>
      </c>
      <c r="O9" s="691">
        <f>SUM(C9:N9)</f>
        <v>0</v>
      </c>
      <c r="P9" s="690">
        <f t="shared" ref="P9:AA9" si="11">P7*P8</f>
        <v>98.4375</v>
      </c>
      <c r="Q9" s="690">
        <f t="shared" si="11"/>
        <v>196.875</v>
      </c>
      <c r="R9" s="690">
        <f t="shared" si="11"/>
        <v>295.3125</v>
      </c>
      <c r="S9" s="690">
        <f t="shared" si="11"/>
        <v>393.75</v>
      </c>
      <c r="T9" s="690">
        <f t="shared" si="11"/>
        <v>492.1875</v>
      </c>
      <c r="U9" s="690">
        <f t="shared" si="11"/>
        <v>590.625</v>
      </c>
      <c r="V9" s="690">
        <f t="shared" si="11"/>
        <v>689.0625</v>
      </c>
      <c r="W9" s="690">
        <f t="shared" si="11"/>
        <v>787.5</v>
      </c>
      <c r="X9" s="690">
        <f t="shared" si="11"/>
        <v>885.93750000000011</v>
      </c>
      <c r="Y9" s="690">
        <f t="shared" si="11"/>
        <v>984.37500000000011</v>
      </c>
      <c r="Z9" s="690">
        <f t="shared" si="11"/>
        <v>1082.8125000000002</v>
      </c>
      <c r="AA9" s="690">
        <f t="shared" si="11"/>
        <v>1181.2500000000005</v>
      </c>
      <c r="AB9" s="691">
        <f>SUM(P9:AA9)</f>
        <v>7678.125</v>
      </c>
      <c r="AC9" s="690">
        <f t="shared" ref="AC9:AJ9" si="12">AC7*AC8</f>
        <v>22325.625000000007</v>
      </c>
      <c r="AD9" s="690">
        <f t="shared" si="12"/>
        <v>46437.300000000017</v>
      </c>
      <c r="AE9" s="690">
        <f t="shared" si="12"/>
        <v>95660.838000000018</v>
      </c>
      <c r="AF9" s="690">
        <f t="shared" si="12"/>
        <v>146361.08214000001</v>
      </c>
      <c r="AG9" s="690">
        <f t="shared" si="12"/>
        <v>177937.13041649997</v>
      </c>
      <c r="AH9" s="690">
        <f t="shared" si="12"/>
        <v>205312.07355749994</v>
      </c>
      <c r="AI9" s="690">
        <f t="shared" si="12"/>
        <v>232687.01669849994</v>
      </c>
      <c r="AJ9" s="690">
        <f t="shared" si="12"/>
        <v>260061.9598394999</v>
      </c>
    </row>
    <row r="11" spans="1:37" s="674" customFormat="1" ht="13.15" customHeight="1" x14ac:dyDescent="0.2">
      <c r="A11" s="680" t="s">
        <v>253</v>
      </c>
      <c r="B11" s="681"/>
      <c r="C11" s="689">
        <v>4</v>
      </c>
      <c r="D11" s="689">
        <f>C11+4</f>
        <v>8</v>
      </c>
      <c r="E11" s="689">
        <f>D11+4</f>
        <v>12</v>
      </c>
      <c r="F11" s="689">
        <f>E11+4</f>
        <v>16</v>
      </c>
      <c r="G11" s="689">
        <f>F11+4</f>
        <v>20</v>
      </c>
      <c r="H11" s="689">
        <f>G11+4</f>
        <v>24</v>
      </c>
      <c r="I11" s="689">
        <v>26</v>
      </c>
      <c r="J11" s="689">
        <v>26</v>
      </c>
      <c r="K11" s="689">
        <v>26</v>
      </c>
      <c r="L11" s="689">
        <v>26</v>
      </c>
      <c r="M11" s="689">
        <v>26</v>
      </c>
      <c r="N11" s="689">
        <v>26</v>
      </c>
      <c r="O11" s="690">
        <f>N11</f>
        <v>26</v>
      </c>
      <c r="P11" s="689">
        <f>O11</f>
        <v>26</v>
      </c>
      <c r="Q11" s="689">
        <f t="shared" ref="Q11:AA11" si="13">P11</f>
        <v>26</v>
      </c>
      <c r="R11" s="689">
        <f t="shared" si="13"/>
        <v>26</v>
      </c>
      <c r="S11" s="689">
        <f t="shared" si="13"/>
        <v>26</v>
      </c>
      <c r="T11" s="689">
        <f t="shared" si="13"/>
        <v>26</v>
      </c>
      <c r="U11" s="689">
        <f t="shared" si="13"/>
        <v>26</v>
      </c>
      <c r="V11" s="689">
        <f t="shared" si="13"/>
        <v>26</v>
      </c>
      <c r="W11" s="689">
        <f t="shared" si="13"/>
        <v>26</v>
      </c>
      <c r="X11" s="689">
        <f t="shared" si="13"/>
        <v>26</v>
      </c>
      <c r="Y11" s="689">
        <f t="shared" si="13"/>
        <v>26</v>
      </c>
      <c r="Z11" s="689">
        <f t="shared" si="13"/>
        <v>26</v>
      </c>
      <c r="AA11" s="689">
        <f t="shared" si="13"/>
        <v>26</v>
      </c>
      <c r="AB11" s="690">
        <f>AA11</f>
        <v>26</v>
      </c>
      <c r="AC11" s="689">
        <v>26</v>
      </c>
      <c r="AD11" s="689">
        <v>26</v>
      </c>
      <c r="AE11" s="689">
        <v>26</v>
      </c>
      <c r="AF11" s="689">
        <v>26</v>
      </c>
      <c r="AG11" s="689">
        <v>26</v>
      </c>
      <c r="AH11" s="689">
        <v>26</v>
      </c>
      <c r="AI11" s="689">
        <v>26</v>
      </c>
      <c r="AJ11" s="689">
        <v>26</v>
      </c>
    </row>
    <row r="12" spans="1:37" s="674" customFormat="1" ht="13.15" customHeight="1" x14ac:dyDescent="0.2">
      <c r="A12" s="680" t="s">
        <v>252</v>
      </c>
      <c r="B12" s="681"/>
      <c r="C12" s="689">
        <v>0</v>
      </c>
      <c r="D12" s="689">
        <v>0</v>
      </c>
      <c r="E12" s="689">
        <v>0</v>
      </c>
      <c r="F12" s="689">
        <v>0</v>
      </c>
      <c r="G12" s="689">
        <v>0</v>
      </c>
      <c r="H12" s="689">
        <v>0</v>
      </c>
      <c r="I12" s="689">
        <v>0</v>
      </c>
      <c r="J12" s="689">
        <v>0</v>
      </c>
      <c r="K12" s="689">
        <v>0</v>
      </c>
      <c r="L12" s="689">
        <v>0</v>
      </c>
      <c r="M12" s="689">
        <v>0</v>
      </c>
      <c r="N12" s="689">
        <v>0</v>
      </c>
      <c r="O12" s="683">
        <f>SUM(C12:N12)</f>
        <v>0</v>
      </c>
      <c r="P12" s="689">
        <f t="shared" ref="P12:AA12" si="14">100/12</f>
        <v>8.3333333333333339</v>
      </c>
      <c r="Q12" s="689">
        <f t="shared" si="14"/>
        <v>8.3333333333333339</v>
      </c>
      <c r="R12" s="689">
        <f t="shared" si="14"/>
        <v>8.3333333333333339</v>
      </c>
      <c r="S12" s="689">
        <f t="shared" si="14"/>
        <v>8.3333333333333339</v>
      </c>
      <c r="T12" s="689">
        <f t="shared" si="14"/>
        <v>8.3333333333333339</v>
      </c>
      <c r="U12" s="689">
        <f t="shared" si="14"/>
        <v>8.3333333333333339</v>
      </c>
      <c r="V12" s="689">
        <f t="shared" si="14"/>
        <v>8.3333333333333339</v>
      </c>
      <c r="W12" s="689">
        <f t="shared" si="14"/>
        <v>8.3333333333333339</v>
      </c>
      <c r="X12" s="689">
        <f t="shared" si="14"/>
        <v>8.3333333333333339</v>
      </c>
      <c r="Y12" s="689">
        <f t="shared" si="14"/>
        <v>8.3333333333333339</v>
      </c>
      <c r="Z12" s="689">
        <f t="shared" si="14"/>
        <v>8.3333333333333339</v>
      </c>
      <c r="AA12" s="689">
        <f t="shared" si="14"/>
        <v>8.3333333333333339</v>
      </c>
      <c r="AB12" s="683">
        <f>SUM(P12:AA12)</f>
        <v>99.999999999999986</v>
      </c>
      <c r="AC12" s="689">
        <v>100</v>
      </c>
      <c r="AD12" s="689">
        <v>100</v>
      </c>
      <c r="AE12" s="689">
        <v>100</v>
      </c>
      <c r="AF12" s="689">
        <v>100</v>
      </c>
      <c r="AG12" s="689">
        <v>100</v>
      </c>
      <c r="AH12" s="689">
        <v>100</v>
      </c>
      <c r="AI12" s="689">
        <v>100</v>
      </c>
      <c r="AJ12" s="689">
        <v>100</v>
      </c>
    </row>
    <row r="13" spans="1:37" s="674" customFormat="1" ht="13.15" customHeight="1" x14ac:dyDescent="0.2">
      <c r="A13" s="680" t="s">
        <v>254</v>
      </c>
      <c r="B13" s="681"/>
      <c r="C13" s="690">
        <f>C11*C12</f>
        <v>0</v>
      </c>
      <c r="D13" s="690">
        <f t="shared" ref="D13:N13" si="15">D11*D12</f>
        <v>0</v>
      </c>
      <c r="E13" s="690">
        <f t="shared" si="15"/>
        <v>0</v>
      </c>
      <c r="F13" s="690">
        <f t="shared" si="15"/>
        <v>0</v>
      </c>
      <c r="G13" s="690">
        <f t="shared" si="15"/>
        <v>0</v>
      </c>
      <c r="H13" s="690">
        <f t="shared" si="15"/>
        <v>0</v>
      </c>
      <c r="I13" s="690">
        <f t="shared" si="15"/>
        <v>0</v>
      </c>
      <c r="J13" s="690">
        <f t="shared" si="15"/>
        <v>0</v>
      </c>
      <c r="K13" s="690">
        <f t="shared" si="15"/>
        <v>0</v>
      </c>
      <c r="L13" s="690">
        <f t="shared" si="15"/>
        <v>0</v>
      </c>
      <c r="M13" s="690">
        <f t="shared" si="15"/>
        <v>0</v>
      </c>
      <c r="N13" s="690">
        <f t="shared" si="15"/>
        <v>0</v>
      </c>
      <c r="O13" s="683">
        <f>SUM(C13:N13)</f>
        <v>0</v>
      </c>
      <c r="P13" s="690">
        <f t="shared" ref="P13:AA13" si="16">P11*P12</f>
        <v>216.66666666666669</v>
      </c>
      <c r="Q13" s="690">
        <f t="shared" si="16"/>
        <v>216.66666666666669</v>
      </c>
      <c r="R13" s="690">
        <f t="shared" si="16"/>
        <v>216.66666666666669</v>
      </c>
      <c r="S13" s="690">
        <f t="shared" si="16"/>
        <v>216.66666666666669</v>
      </c>
      <c r="T13" s="690">
        <f t="shared" si="16"/>
        <v>216.66666666666669</v>
      </c>
      <c r="U13" s="690">
        <f t="shared" si="16"/>
        <v>216.66666666666669</v>
      </c>
      <c r="V13" s="690">
        <f t="shared" si="16"/>
        <v>216.66666666666669</v>
      </c>
      <c r="W13" s="690">
        <f t="shared" si="16"/>
        <v>216.66666666666669</v>
      </c>
      <c r="X13" s="690">
        <f t="shared" si="16"/>
        <v>216.66666666666669</v>
      </c>
      <c r="Y13" s="690">
        <f t="shared" si="16"/>
        <v>216.66666666666669</v>
      </c>
      <c r="Z13" s="690">
        <f t="shared" si="16"/>
        <v>216.66666666666669</v>
      </c>
      <c r="AA13" s="690">
        <f t="shared" si="16"/>
        <v>216.66666666666669</v>
      </c>
      <c r="AB13" s="690">
        <f>SUM(P13:AA13)</f>
        <v>2600</v>
      </c>
      <c r="AC13" s="690">
        <f t="shared" ref="AC13:AJ13" si="17">AC11*AC12</f>
        <v>2600</v>
      </c>
      <c r="AD13" s="690">
        <f t="shared" si="17"/>
        <v>2600</v>
      </c>
      <c r="AE13" s="690">
        <f t="shared" si="17"/>
        <v>2600</v>
      </c>
      <c r="AF13" s="690">
        <f t="shared" si="17"/>
        <v>2600</v>
      </c>
      <c r="AG13" s="690">
        <f t="shared" si="17"/>
        <v>2600</v>
      </c>
      <c r="AH13" s="690">
        <f t="shared" si="17"/>
        <v>2600</v>
      </c>
      <c r="AI13" s="690">
        <f t="shared" si="17"/>
        <v>2600</v>
      </c>
      <c r="AJ13" s="690">
        <f t="shared" si="17"/>
        <v>2600</v>
      </c>
    </row>
    <row r="14" spans="1:37" s="674" customFormat="1" ht="13.15" customHeight="1" x14ac:dyDescent="0.2">
      <c r="A14" s="680" t="s">
        <v>249</v>
      </c>
      <c r="B14" s="681"/>
      <c r="C14" s="686">
        <f>C8</f>
        <v>2.5</v>
      </c>
      <c r="D14" s="686">
        <f t="shared" ref="D14:AJ14" si="18">D8</f>
        <v>2.5</v>
      </c>
      <c r="E14" s="686">
        <f t="shared" si="18"/>
        <v>2.5</v>
      </c>
      <c r="F14" s="686">
        <f t="shared" si="18"/>
        <v>2.5</v>
      </c>
      <c r="G14" s="686">
        <f t="shared" si="18"/>
        <v>2.5</v>
      </c>
      <c r="H14" s="686">
        <f t="shared" si="18"/>
        <v>2.5</v>
      </c>
      <c r="I14" s="686">
        <f t="shared" si="18"/>
        <v>2.5</v>
      </c>
      <c r="J14" s="686">
        <f t="shared" si="18"/>
        <v>2.5</v>
      </c>
      <c r="K14" s="686">
        <f t="shared" si="18"/>
        <v>2.5</v>
      </c>
      <c r="L14" s="686">
        <f t="shared" si="18"/>
        <v>2.5</v>
      </c>
      <c r="M14" s="686">
        <f t="shared" si="18"/>
        <v>2.5</v>
      </c>
      <c r="N14" s="686">
        <f t="shared" si="18"/>
        <v>2.5</v>
      </c>
      <c r="O14" s="686">
        <f t="shared" si="18"/>
        <v>2.5</v>
      </c>
      <c r="P14" s="686">
        <f t="shared" si="18"/>
        <v>2.5</v>
      </c>
      <c r="Q14" s="686">
        <f t="shared" si="18"/>
        <v>2.5</v>
      </c>
      <c r="R14" s="686">
        <f t="shared" si="18"/>
        <v>2.5</v>
      </c>
      <c r="S14" s="686">
        <f t="shared" si="18"/>
        <v>2.5</v>
      </c>
      <c r="T14" s="686">
        <f t="shared" si="18"/>
        <v>2.5</v>
      </c>
      <c r="U14" s="686">
        <f t="shared" si="18"/>
        <v>2.5</v>
      </c>
      <c r="V14" s="686">
        <f t="shared" si="18"/>
        <v>2.5</v>
      </c>
      <c r="W14" s="686">
        <f t="shared" si="18"/>
        <v>2.5</v>
      </c>
      <c r="X14" s="686">
        <f t="shared" si="18"/>
        <v>2.5</v>
      </c>
      <c r="Y14" s="686">
        <f t="shared" si="18"/>
        <v>2.5</v>
      </c>
      <c r="Z14" s="686">
        <f t="shared" si="18"/>
        <v>2.5</v>
      </c>
      <c r="AA14" s="686">
        <f t="shared" si="18"/>
        <v>2.5</v>
      </c>
      <c r="AB14" s="686">
        <f t="shared" si="18"/>
        <v>2.5</v>
      </c>
      <c r="AC14" s="686">
        <f t="shared" si="18"/>
        <v>2.5</v>
      </c>
      <c r="AD14" s="686">
        <f t="shared" si="18"/>
        <v>2.5</v>
      </c>
      <c r="AE14" s="686">
        <f t="shared" si="18"/>
        <v>2.5</v>
      </c>
      <c r="AF14" s="686">
        <f t="shared" si="18"/>
        <v>2.5</v>
      </c>
      <c r="AG14" s="686">
        <f t="shared" si="18"/>
        <v>2.5</v>
      </c>
      <c r="AH14" s="686">
        <f t="shared" si="18"/>
        <v>2.5</v>
      </c>
      <c r="AI14" s="686">
        <f t="shared" si="18"/>
        <v>2.5</v>
      </c>
      <c r="AJ14" s="686">
        <f t="shared" si="18"/>
        <v>2.5</v>
      </c>
    </row>
    <row r="15" spans="1:37" s="674" customFormat="1" ht="13.15" customHeight="1" x14ac:dyDescent="0.2">
      <c r="A15" s="680" t="s">
        <v>255</v>
      </c>
      <c r="B15" s="681"/>
      <c r="C15" s="690">
        <f t="shared" ref="C15:N15" si="19">C13*C14</f>
        <v>0</v>
      </c>
      <c r="D15" s="690">
        <f t="shared" si="19"/>
        <v>0</v>
      </c>
      <c r="E15" s="690">
        <f t="shared" si="19"/>
        <v>0</v>
      </c>
      <c r="F15" s="690">
        <f t="shared" si="19"/>
        <v>0</v>
      </c>
      <c r="G15" s="690">
        <f t="shared" si="19"/>
        <v>0</v>
      </c>
      <c r="H15" s="690">
        <f t="shared" si="19"/>
        <v>0</v>
      </c>
      <c r="I15" s="690">
        <f t="shared" si="19"/>
        <v>0</v>
      </c>
      <c r="J15" s="690">
        <f t="shared" si="19"/>
        <v>0</v>
      </c>
      <c r="K15" s="690">
        <f t="shared" si="19"/>
        <v>0</v>
      </c>
      <c r="L15" s="690">
        <f t="shared" si="19"/>
        <v>0</v>
      </c>
      <c r="M15" s="690">
        <f t="shared" si="19"/>
        <v>0</v>
      </c>
      <c r="N15" s="690">
        <f t="shared" si="19"/>
        <v>0</v>
      </c>
      <c r="O15" s="691">
        <f>SUM(C15:N15)</f>
        <v>0</v>
      </c>
      <c r="P15" s="690">
        <f t="shared" ref="P15:AA15" si="20">P13*P14</f>
        <v>541.66666666666674</v>
      </c>
      <c r="Q15" s="690">
        <f t="shared" si="20"/>
        <v>541.66666666666674</v>
      </c>
      <c r="R15" s="690">
        <f t="shared" si="20"/>
        <v>541.66666666666674</v>
      </c>
      <c r="S15" s="690">
        <f t="shared" si="20"/>
        <v>541.66666666666674</v>
      </c>
      <c r="T15" s="690">
        <f t="shared" si="20"/>
        <v>541.66666666666674</v>
      </c>
      <c r="U15" s="690">
        <f t="shared" si="20"/>
        <v>541.66666666666674</v>
      </c>
      <c r="V15" s="690">
        <f t="shared" si="20"/>
        <v>541.66666666666674</v>
      </c>
      <c r="W15" s="690">
        <f t="shared" si="20"/>
        <v>541.66666666666674</v>
      </c>
      <c r="X15" s="690">
        <f t="shared" si="20"/>
        <v>541.66666666666674</v>
      </c>
      <c r="Y15" s="690">
        <f t="shared" si="20"/>
        <v>541.66666666666674</v>
      </c>
      <c r="Z15" s="690">
        <f t="shared" si="20"/>
        <v>541.66666666666674</v>
      </c>
      <c r="AA15" s="690">
        <f t="shared" si="20"/>
        <v>541.66666666666674</v>
      </c>
      <c r="AB15" s="691">
        <f>SUM(P15:AA15)</f>
        <v>6500.0000000000027</v>
      </c>
      <c r="AC15" s="690">
        <f t="shared" ref="AC15:AJ15" si="21">AC13*AC14</f>
        <v>6500</v>
      </c>
      <c r="AD15" s="690">
        <f t="shared" si="21"/>
        <v>6500</v>
      </c>
      <c r="AE15" s="690">
        <f t="shared" si="21"/>
        <v>6500</v>
      </c>
      <c r="AF15" s="690">
        <f t="shared" si="21"/>
        <v>6500</v>
      </c>
      <c r="AG15" s="690">
        <f t="shared" si="21"/>
        <v>6500</v>
      </c>
      <c r="AH15" s="690">
        <f t="shared" si="21"/>
        <v>6500</v>
      </c>
      <c r="AI15" s="690">
        <f t="shared" si="21"/>
        <v>6500</v>
      </c>
      <c r="AJ15" s="690">
        <f t="shared" si="21"/>
        <v>6500</v>
      </c>
    </row>
    <row r="16" spans="1:37" s="674" customFormat="1" ht="13.15" customHeight="1" x14ac:dyDescent="0.2">
      <c r="B16" s="681"/>
      <c r="C16" s="682"/>
      <c r="D16" s="682"/>
      <c r="E16" s="682"/>
      <c r="F16" s="682"/>
      <c r="G16" s="682"/>
      <c r="H16" s="682"/>
      <c r="I16" s="682"/>
      <c r="J16" s="682"/>
      <c r="K16" s="682"/>
      <c r="L16" s="682"/>
      <c r="M16" s="682"/>
      <c r="N16" s="682"/>
      <c r="O16" s="683"/>
      <c r="P16" s="682"/>
      <c r="Q16" s="682"/>
      <c r="R16" s="682"/>
      <c r="S16" s="682"/>
      <c r="T16" s="682"/>
      <c r="U16" s="682"/>
      <c r="V16" s="682"/>
      <c r="W16" s="682"/>
      <c r="X16" s="682"/>
      <c r="Y16" s="682"/>
      <c r="Z16" s="682"/>
      <c r="AA16" s="682"/>
      <c r="AB16" s="683"/>
      <c r="AC16" s="683"/>
      <c r="AD16" s="683"/>
      <c r="AE16" s="683"/>
    </row>
    <row r="17" spans="1:37" s="674" customFormat="1" ht="13.15" customHeight="1" x14ac:dyDescent="0.2">
      <c r="A17" s="680" t="s">
        <v>256</v>
      </c>
      <c r="B17" s="681"/>
      <c r="C17" s="689">
        <v>1</v>
      </c>
      <c r="D17" s="689">
        <v>2</v>
      </c>
      <c r="E17" s="689">
        <v>3</v>
      </c>
      <c r="F17" s="689">
        <v>4</v>
      </c>
      <c r="G17" s="689">
        <v>4</v>
      </c>
      <c r="H17" s="689">
        <v>4</v>
      </c>
      <c r="I17" s="689">
        <v>4</v>
      </c>
      <c r="J17" s="689">
        <v>4</v>
      </c>
      <c r="K17" s="689">
        <v>4</v>
      </c>
      <c r="L17" s="689">
        <v>4</v>
      </c>
      <c r="M17" s="689">
        <v>4</v>
      </c>
      <c r="N17" s="689">
        <v>4</v>
      </c>
      <c r="O17" s="690">
        <f>N17</f>
        <v>4</v>
      </c>
      <c r="P17" s="689">
        <f>O17</f>
        <v>4</v>
      </c>
      <c r="Q17" s="689">
        <f t="shared" ref="Q17:AA17" si="22">P17</f>
        <v>4</v>
      </c>
      <c r="R17" s="689">
        <f t="shared" si="22"/>
        <v>4</v>
      </c>
      <c r="S17" s="689">
        <f t="shared" si="22"/>
        <v>4</v>
      </c>
      <c r="T17" s="689">
        <f t="shared" si="22"/>
        <v>4</v>
      </c>
      <c r="U17" s="689">
        <f t="shared" si="22"/>
        <v>4</v>
      </c>
      <c r="V17" s="689">
        <f t="shared" si="22"/>
        <v>4</v>
      </c>
      <c r="W17" s="689">
        <f t="shared" si="22"/>
        <v>4</v>
      </c>
      <c r="X17" s="689">
        <f t="shared" si="22"/>
        <v>4</v>
      </c>
      <c r="Y17" s="689">
        <f t="shared" si="22"/>
        <v>4</v>
      </c>
      <c r="Z17" s="689">
        <f t="shared" si="22"/>
        <v>4</v>
      </c>
      <c r="AA17" s="689">
        <f t="shared" si="22"/>
        <v>4</v>
      </c>
      <c r="AB17" s="690">
        <f>AA17</f>
        <v>4</v>
      </c>
      <c r="AC17" s="689">
        <v>4</v>
      </c>
      <c r="AD17" s="689">
        <v>4</v>
      </c>
      <c r="AE17" s="689">
        <v>4</v>
      </c>
      <c r="AF17" s="689">
        <v>4</v>
      </c>
      <c r="AG17" s="689">
        <v>4</v>
      </c>
      <c r="AH17" s="689">
        <v>4</v>
      </c>
      <c r="AI17" s="689">
        <v>4</v>
      </c>
      <c r="AJ17" s="689">
        <v>4</v>
      </c>
    </row>
    <row r="18" spans="1:37" s="674" customFormat="1" ht="13.15" customHeight="1" x14ac:dyDescent="0.2">
      <c r="A18" s="680" t="s">
        <v>252</v>
      </c>
      <c r="B18" s="681"/>
      <c r="C18" s="689">
        <v>0</v>
      </c>
      <c r="D18" s="689">
        <v>0</v>
      </c>
      <c r="E18" s="689">
        <v>0</v>
      </c>
      <c r="F18" s="689">
        <v>0</v>
      </c>
      <c r="G18" s="689">
        <v>0</v>
      </c>
      <c r="H18" s="689">
        <v>0</v>
      </c>
      <c r="I18" s="689">
        <v>0</v>
      </c>
      <c r="J18" s="689">
        <v>0</v>
      </c>
      <c r="K18" s="689">
        <v>0</v>
      </c>
      <c r="L18" s="689">
        <v>0</v>
      </c>
      <c r="M18" s="689">
        <v>0</v>
      </c>
      <c r="N18" s="689">
        <v>0</v>
      </c>
      <c r="O18" s="683">
        <f>SUM(C18:N18)</f>
        <v>0</v>
      </c>
      <c r="P18" s="689">
        <f>300/12</f>
        <v>25</v>
      </c>
      <c r="Q18" s="689">
        <f t="shared" ref="Q18:AA18" si="23">300/12</f>
        <v>25</v>
      </c>
      <c r="R18" s="689">
        <f t="shared" si="23"/>
        <v>25</v>
      </c>
      <c r="S18" s="689">
        <f t="shared" si="23"/>
        <v>25</v>
      </c>
      <c r="T18" s="689">
        <f t="shared" si="23"/>
        <v>25</v>
      </c>
      <c r="U18" s="689">
        <f t="shared" si="23"/>
        <v>25</v>
      </c>
      <c r="V18" s="689">
        <f t="shared" si="23"/>
        <v>25</v>
      </c>
      <c r="W18" s="689">
        <f t="shared" si="23"/>
        <v>25</v>
      </c>
      <c r="X18" s="689">
        <f t="shared" si="23"/>
        <v>25</v>
      </c>
      <c r="Y18" s="689">
        <f t="shared" si="23"/>
        <v>25</v>
      </c>
      <c r="Z18" s="689">
        <f t="shared" si="23"/>
        <v>25</v>
      </c>
      <c r="AA18" s="689">
        <f t="shared" si="23"/>
        <v>25</v>
      </c>
      <c r="AB18" s="683">
        <f>SUM(P18:AA18)</f>
        <v>300</v>
      </c>
      <c r="AC18" s="689">
        <v>300</v>
      </c>
      <c r="AD18" s="689">
        <v>300</v>
      </c>
      <c r="AE18" s="689">
        <v>300</v>
      </c>
      <c r="AF18" s="689">
        <v>300</v>
      </c>
      <c r="AG18" s="689">
        <v>300</v>
      </c>
      <c r="AH18" s="689">
        <v>300</v>
      </c>
      <c r="AI18" s="689">
        <v>300</v>
      </c>
      <c r="AJ18" s="689">
        <v>300</v>
      </c>
    </row>
    <row r="19" spans="1:37" s="674" customFormat="1" ht="13.15" customHeight="1" x14ac:dyDescent="0.2">
      <c r="A19" s="680" t="s">
        <v>254</v>
      </c>
      <c r="B19" s="681"/>
      <c r="C19" s="690">
        <f t="shared" ref="C19:N19" si="24">C17*C18</f>
        <v>0</v>
      </c>
      <c r="D19" s="690">
        <f t="shared" si="24"/>
        <v>0</v>
      </c>
      <c r="E19" s="690">
        <f t="shared" si="24"/>
        <v>0</v>
      </c>
      <c r="F19" s="690">
        <f t="shared" si="24"/>
        <v>0</v>
      </c>
      <c r="G19" s="690">
        <f t="shared" si="24"/>
        <v>0</v>
      </c>
      <c r="H19" s="690">
        <f t="shared" si="24"/>
        <v>0</v>
      </c>
      <c r="I19" s="690">
        <f t="shared" si="24"/>
        <v>0</v>
      </c>
      <c r="J19" s="690">
        <f t="shared" si="24"/>
        <v>0</v>
      </c>
      <c r="K19" s="690">
        <f t="shared" si="24"/>
        <v>0</v>
      </c>
      <c r="L19" s="690">
        <f t="shared" si="24"/>
        <v>0</v>
      </c>
      <c r="M19" s="690">
        <f t="shared" si="24"/>
        <v>0</v>
      </c>
      <c r="N19" s="690">
        <f t="shared" si="24"/>
        <v>0</v>
      </c>
      <c r="O19" s="683">
        <f>SUM(C19:N19)</f>
        <v>0</v>
      </c>
      <c r="P19" s="690">
        <f t="shared" ref="P19:AA19" si="25">P17*P18</f>
        <v>100</v>
      </c>
      <c r="Q19" s="690">
        <f t="shared" si="25"/>
        <v>100</v>
      </c>
      <c r="R19" s="690">
        <f t="shared" si="25"/>
        <v>100</v>
      </c>
      <c r="S19" s="690">
        <f t="shared" si="25"/>
        <v>100</v>
      </c>
      <c r="T19" s="690">
        <f t="shared" si="25"/>
        <v>100</v>
      </c>
      <c r="U19" s="690">
        <f t="shared" si="25"/>
        <v>100</v>
      </c>
      <c r="V19" s="690">
        <f t="shared" si="25"/>
        <v>100</v>
      </c>
      <c r="W19" s="690">
        <f t="shared" si="25"/>
        <v>100</v>
      </c>
      <c r="X19" s="690">
        <f t="shared" si="25"/>
        <v>100</v>
      </c>
      <c r="Y19" s="690">
        <f t="shared" si="25"/>
        <v>100</v>
      </c>
      <c r="Z19" s="690">
        <f t="shared" si="25"/>
        <v>100</v>
      </c>
      <c r="AA19" s="690">
        <f t="shared" si="25"/>
        <v>100</v>
      </c>
      <c r="AB19" s="683">
        <f>SUM(P19:AA19)</f>
        <v>1200</v>
      </c>
      <c r="AC19" s="690">
        <f t="shared" ref="AC19:AJ19" si="26">AC17*AC18</f>
        <v>1200</v>
      </c>
      <c r="AD19" s="690">
        <f t="shared" si="26"/>
        <v>1200</v>
      </c>
      <c r="AE19" s="690">
        <f t="shared" si="26"/>
        <v>1200</v>
      </c>
      <c r="AF19" s="690">
        <f t="shared" si="26"/>
        <v>1200</v>
      </c>
      <c r="AG19" s="690">
        <f t="shared" si="26"/>
        <v>1200</v>
      </c>
      <c r="AH19" s="690">
        <f t="shared" si="26"/>
        <v>1200</v>
      </c>
      <c r="AI19" s="690">
        <f t="shared" si="26"/>
        <v>1200</v>
      </c>
      <c r="AJ19" s="690">
        <f t="shared" si="26"/>
        <v>1200</v>
      </c>
    </row>
    <row r="20" spans="1:37" s="674" customFormat="1" ht="13.15" customHeight="1" x14ac:dyDescent="0.2">
      <c r="A20" s="680" t="s">
        <v>249</v>
      </c>
      <c r="B20" s="681"/>
      <c r="C20" s="686">
        <f>C8</f>
        <v>2.5</v>
      </c>
      <c r="D20" s="686">
        <f t="shared" ref="D20:AJ20" si="27">D8</f>
        <v>2.5</v>
      </c>
      <c r="E20" s="686">
        <f t="shared" si="27"/>
        <v>2.5</v>
      </c>
      <c r="F20" s="686">
        <f t="shared" si="27"/>
        <v>2.5</v>
      </c>
      <c r="G20" s="686">
        <f t="shared" si="27"/>
        <v>2.5</v>
      </c>
      <c r="H20" s="686">
        <f t="shared" si="27"/>
        <v>2.5</v>
      </c>
      <c r="I20" s="686">
        <f t="shared" si="27"/>
        <v>2.5</v>
      </c>
      <c r="J20" s="686">
        <f t="shared" si="27"/>
        <v>2.5</v>
      </c>
      <c r="K20" s="686">
        <f t="shared" si="27"/>
        <v>2.5</v>
      </c>
      <c r="L20" s="686">
        <f t="shared" si="27"/>
        <v>2.5</v>
      </c>
      <c r="M20" s="686">
        <f t="shared" si="27"/>
        <v>2.5</v>
      </c>
      <c r="N20" s="686">
        <f t="shared" si="27"/>
        <v>2.5</v>
      </c>
      <c r="O20" s="686">
        <f t="shared" si="27"/>
        <v>2.5</v>
      </c>
      <c r="P20" s="686">
        <f t="shared" si="27"/>
        <v>2.5</v>
      </c>
      <c r="Q20" s="686">
        <f t="shared" si="27"/>
        <v>2.5</v>
      </c>
      <c r="R20" s="686">
        <f t="shared" si="27"/>
        <v>2.5</v>
      </c>
      <c r="S20" s="686">
        <f t="shared" si="27"/>
        <v>2.5</v>
      </c>
      <c r="T20" s="686">
        <f t="shared" si="27"/>
        <v>2.5</v>
      </c>
      <c r="U20" s="686">
        <f t="shared" si="27"/>
        <v>2.5</v>
      </c>
      <c r="V20" s="686">
        <f t="shared" si="27"/>
        <v>2.5</v>
      </c>
      <c r="W20" s="686">
        <f t="shared" si="27"/>
        <v>2.5</v>
      </c>
      <c r="X20" s="686">
        <f t="shared" si="27"/>
        <v>2.5</v>
      </c>
      <c r="Y20" s="686">
        <f t="shared" si="27"/>
        <v>2.5</v>
      </c>
      <c r="Z20" s="686">
        <f t="shared" si="27"/>
        <v>2.5</v>
      </c>
      <c r="AA20" s="686">
        <f t="shared" si="27"/>
        <v>2.5</v>
      </c>
      <c r="AB20" s="686">
        <f t="shared" si="27"/>
        <v>2.5</v>
      </c>
      <c r="AC20" s="686">
        <f t="shared" si="27"/>
        <v>2.5</v>
      </c>
      <c r="AD20" s="686">
        <f t="shared" si="27"/>
        <v>2.5</v>
      </c>
      <c r="AE20" s="686">
        <f t="shared" si="27"/>
        <v>2.5</v>
      </c>
      <c r="AF20" s="686">
        <f t="shared" si="27"/>
        <v>2.5</v>
      </c>
      <c r="AG20" s="686">
        <f t="shared" si="27"/>
        <v>2.5</v>
      </c>
      <c r="AH20" s="686">
        <f t="shared" si="27"/>
        <v>2.5</v>
      </c>
      <c r="AI20" s="686">
        <f t="shared" si="27"/>
        <v>2.5</v>
      </c>
      <c r="AJ20" s="686">
        <f t="shared" si="27"/>
        <v>2.5</v>
      </c>
    </row>
    <row r="21" spans="1:37" s="674" customFormat="1" ht="13.15" customHeight="1" x14ac:dyDescent="0.2">
      <c r="A21" s="680" t="s">
        <v>255</v>
      </c>
      <c r="B21" s="681"/>
      <c r="C21" s="690">
        <f t="shared" ref="C21:N21" si="28">C19*C20</f>
        <v>0</v>
      </c>
      <c r="D21" s="690">
        <f t="shared" si="28"/>
        <v>0</v>
      </c>
      <c r="E21" s="690">
        <f t="shared" si="28"/>
        <v>0</v>
      </c>
      <c r="F21" s="690">
        <f t="shared" si="28"/>
        <v>0</v>
      </c>
      <c r="G21" s="690">
        <f t="shared" si="28"/>
        <v>0</v>
      </c>
      <c r="H21" s="690">
        <f t="shared" si="28"/>
        <v>0</v>
      </c>
      <c r="I21" s="690">
        <f t="shared" si="28"/>
        <v>0</v>
      </c>
      <c r="J21" s="690">
        <f t="shared" si="28"/>
        <v>0</v>
      </c>
      <c r="K21" s="690">
        <f t="shared" si="28"/>
        <v>0</v>
      </c>
      <c r="L21" s="690">
        <f t="shared" si="28"/>
        <v>0</v>
      </c>
      <c r="M21" s="690">
        <f t="shared" si="28"/>
        <v>0</v>
      </c>
      <c r="N21" s="690">
        <f t="shared" si="28"/>
        <v>0</v>
      </c>
      <c r="O21" s="691">
        <f>SUM(C21:N21)</f>
        <v>0</v>
      </c>
      <c r="P21" s="690">
        <f t="shared" ref="P21:AA21" si="29">P19*P20</f>
        <v>250</v>
      </c>
      <c r="Q21" s="690">
        <f t="shared" si="29"/>
        <v>250</v>
      </c>
      <c r="R21" s="690">
        <f t="shared" si="29"/>
        <v>250</v>
      </c>
      <c r="S21" s="690">
        <f t="shared" si="29"/>
        <v>250</v>
      </c>
      <c r="T21" s="690">
        <f t="shared" si="29"/>
        <v>250</v>
      </c>
      <c r="U21" s="690">
        <f t="shared" si="29"/>
        <v>250</v>
      </c>
      <c r="V21" s="690">
        <f t="shared" si="29"/>
        <v>250</v>
      </c>
      <c r="W21" s="690">
        <f t="shared" si="29"/>
        <v>250</v>
      </c>
      <c r="X21" s="690">
        <f t="shared" si="29"/>
        <v>250</v>
      </c>
      <c r="Y21" s="690">
        <f t="shared" si="29"/>
        <v>250</v>
      </c>
      <c r="Z21" s="690">
        <f t="shared" si="29"/>
        <v>250</v>
      </c>
      <c r="AA21" s="690">
        <f t="shared" si="29"/>
        <v>250</v>
      </c>
      <c r="AB21" s="691">
        <f>SUM(P21:AA21)</f>
        <v>3000</v>
      </c>
      <c r="AC21" s="690">
        <f t="shared" ref="AC21:AJ21" si="30">AC19*AC20</f>
        <v>3000</v>
      </c>
      <c r="AD21" s="690">
        <f t="shared" si="30"/>
        <v>3000</v>
      </c>
      <c r="AE21" s="690">
        <f t="shared" si="30"/>
        <v>3000</v>
      </c>
      <c r="AF21" s="690">
        <f t="shared" si="30"/>
        <v>3000</v>
      </c>
      <c r="AG21" s="690">
        <f t="shared" si="30"/>
        <v>3000</v>
      </c>
      <c r="AH21" s="690">
        <f t="shared" si="30"/>
        <v>3000</v>
      </c>
      <c r="AI21" s="690">
        <f t="shared" si="30"/>
        <v>3000</v>
      </c>
      <c r="AJ21" s="690">
        <f t="shared" si="30"/>
        <v>3000</v>
      </c>
    </row>
    <row r="22" spans="1:37" s="674" customFormat="1" ht="13.15" customHeight="1" x14ac:dyDescent="0.2">
      <c r="A22" s="680"/>
      <c r="B22" s="681"/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3"/>
      <c r="P22" s="682"/>
      <c r="Q22" s="682"/>
      <c r="R22" s="682"/>
      <c r="S22" s="682"/>
      <c r="T22" s="682"/>
      <c r="U22" s="682"/>
      <c r="V22" s="682"/>
      <c r="W22" s="682"/>
      <c r="X22" s="682"/>
      <c r="Y22" s="682"/>
      <c r="Z22" s="682"/>
      <c r="AA22" s="682"/>
      <c r="AB22" s="683"/>
      <c r="AC22" s="683"/>
      <c r="AD22" s="683"/>
      <c r="AE22" s="683"/>
    </row>
    <row r="23" spans="1:37" s="684" customFormat="1" ht="13.15" customHeight="1" x14ac:dyDescent="0.2">
      <c r="A23" s="676" t="s">
        <v>257</v>
      </c>
      <c r="B23" s="677"/>
      <c r="C23" s="694">
        <f>C9+C15+C21</f>
        <v>0</v>
      </c>
      <c r="D23" s="694">
        <f t="shared" ref="D23:N23" si="31">D9+D15+D21</f>
        <v>0</v>
      </c>
      <c r="E23" s="694">
        <f t="shared" si="31"/>
        <v>0</v>
      </c>
      <c r="F23" s="694">
        <f t="shared" si="31"/>
        <v>0</v>
      </c>
      <c r="G23" s="694">
        <f t="shared" si="31"/>
        <v>0</v>
      </c>
      <c r="H23" s="694">
        <f t="shared" si="31"/>
        <v>0</v>
      </c>
      <c r="I23" s="694">
        <f t="shared" si="31"/>
        <v>0</v>
      </c>
      <c r="J23" s="694">
        <f t="shared" si="31"/>
        <v>0</v>
      </c>
      <c r="K23" s="694">
        <f t="shared" si="31"/>
        <v>0</v>
      </c>
      <c r="L23" s="694">
        <f t="shared" si="31"/>
        <v>0</v>
      </c>
      <c r="M23" s="694">
        <f t="shared" si="31"/>
        <v>0</v>
      </c>
      <c r="N23" s="694">
        <f t="shared" si="31"/>
        <v>0</v>
      </c>
      <c r="O23" s="679">
        <f>SUM(C23:N23)</f>
        <v>0</v>
      </c>
      <c r="P23" s="694">
        <f t="shared" ref="P23:AA23" si="32">P9+P15+P21</f>
        <v>890.10416666666674</v>
      </c>
      <c r="Q23" s="694">
        <f t="shared" si="32"/>
        <v>988.54166666666674</v>
      </c>
      <c r="R23" s="694">
        <f t="shared" si="32"/>
        <v>1086.9791666666667</v>
      </c>
      <c r="S23" s="694">
        <f t="shared" si="32"/>
        <v>1185.4166666666667</v>
      </c>
      <c r="T23" s="694">
        <f t="shared" si="32"/>
        <v>1283.8541666666667</v>
      </c>
      <c r="U23" s="694">
        <f t="shared" si="32"/>
        <v>1382.2916666666667</v>
      </c>
      <c r="V23" s="694">
        <f t="shared" si="32"/>
        <v>1480.7291666666667</v>
      </c>
      <c r="W23" s="694">
        <f t="shared" si="32"/>
        <v>1579.1666666666667</v>
      </c>
      <c r="X23" s="694">
        <f t="shared" si="32"/>
        <v>1677.604166666667</v>
      </c>
      <c r="Y23" s="694">
        <f t="shared" si="32"/>
        <v>1776.041666666667</v>
      </c>
      <c r="Z23" s="694">
        <f t="shared" si="32"/>
        <v>1874.479166666667</v>
      </c>
      <c r="AA23" s="694">
        <f t="shared" si="32"/>
        <v>1972.9166666666672</v>
      </c>
      <c r="AB23" s="694">
        <f>SUM(P23:AA23)</f>
        <v>17178.125000000004</v>
      </c>
      <c r="AC23" s="694">
        <f t="shared" ref="AC23:AJ23" si="33">AC9+AC15+AC21</f>
        <v>31825.625000000007</v>
      </c>
      <c r="AD23" s="694">
        <f t="shared" si="33"/>
        <v>55937.300000000017</v>
      </c>
      <c r="AE23" s="694">
        <f t="shared" si="33"/>
        <v>105160.83800000002</v>
      </c>
      <c r="AF23" s="694">
        <f t="shared" si="33"/>
        <v>155861.08214000001</v>
      </c>
      <c r="AG23" s="694">
        <f t="shared" si="33"/>
        <v>187437.13041649997</v>
      </c>
      <c r="AH23" s="694">
        <f t="shared" si="33"/>
        <v>214812.07355749994</v>
      </c>
      <c r="AI23" s="694">
        <f t="shared" si="33"/>
        <v>242187.01669849994</v>
      </c>
      <c r="AJ23" s="694">
        <f t="shared" si="33"/>
        <v>269561.9598394999</v>
      </c>
    </row>
    <row r="24" spans="1:37" s="674" customFormat="1" ht="13.15" customHeight="1" x14ac:dyDescent="0.2">
      <c r="A24" s="680"/>
      <c r="B24" s="681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3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82"/>
      <c r="AB24" s="683"/>
      <c r="AC24" s="683"/>
      <c r="AD24" s="683"/>
      <c r="AE24" s="683"/>
    </row>
    <row r="25" spans="1:37" s="674" customFormat="1" ht="13.15" customHeight="1" x14ac:dyDescent="0.2">
      <c r="A25" s="680" t="s">
        <v>258</v>
      </c>
      <c r="B25" s="681"/>
      <c r="C25" s="768">
        <v>300</v>
      </c>
      <c r="D25" s="767">
        <f>C25</f>
        <v>300</v>
      </c>
      <c r="E25" s="767">
        <f t="shared" ref="E25:N25" si="34">D25</f>
        <v>300</v>
      </c>
      <c r="F25" s="767">
        <f t="shared" si="34"/>
        <v>300</v>
      </c>
      <c r="G25" s="767">
        <f t="shared" si="34"/>
        <v>300</v>
      </c>
      <c r="H25" s="767">
        <f t="shared" si="34"/>
        <v>300</v>
      </c>
      <c r="I25" s="767">
        <f t="shared" si="34"/>
        <v>300</v>
      </c>
      <c r="J25" s="767">
        <f t="shared" si="34"/>
        <v>300</v>
      </c>
      <c r="K25" s="767">
        <f t="shared" si="34"/>
        <v>300</v>
      </c>
      <c r="L25" s="767">
        <f t="shared" si="34"/>
        <v>300</v>
      </c>
      <c r="M25" s="767">
        <f t="shared" si="34"/>
        <v>300</v>
      </c>
      <c r="N25" s="767">
        <f t="shared" si="34"/>
        <v>300</v>
      </c>
      <c r="O25" s="767">
        <f>N25</f>
        <v>300</v>
      </c>
      <c r="P25" s="767">
        <f>O25</f>
        <v>300</v>
      </c>
      <c r="Q25" s="767">
        <f t="shared" ref="Q25:AA25" si="35">P25</f>
        <v>300</v>
      </c>
      <c r="R25" s="767">
        <f t="shared" si="35"/>
        <v>300</v>
      </c>
      <c r="S25" s="767">
        <f t="shared" si="35"/>
        <v>300</v>
      </c>
      <c r="T25" s="767">
        <f t="shared" si="35"/>
        <v>300</v>
      </c>
      <c r="U25" s="767">
        <f t="shared" si="35"/>
        <v>300</v>
      </c>
      <c r="V25" s="767">
        <f t="shared" si="35"/>
        <v>300</v>
      </c>
      <c r="W25" s="767">
        <f t="shared" si="35"/>
        <v>300</v>
      </c>
      <c r="X25" s="767">
        <f t="shared" si="35"/>
        <v>300</v>
      </c>
      <c r="Y25" s="767">
        <f t="shared" si="35"/>
        <v>300</v>
      </c>
      <c r="Z25" s="767">
        <f t="shared" si="35"/>
        <v>300</v>
      </c>
      <c r="AA25" s="767">
        <f t="shared" si="35"/>
        <v>300</v>
      </c>
      <c r="AB25" s="767">
        <f>AA25</f>
        <v>300</v>
      </c>
      <c r="AC25" s="767">
        <f>AB25</f>
        <v>300</v>
      </c>
      <c r="AD25" s="767">
        <f t="shared" ref="AD25:AJ25" si="36">AC25</f>
        <v>300</v>
      </c>
      <c r="AE25" s="767">
        <f t="shared" si="36"/>
        <v>300</v>
      </c>
      <c r="AF25" s="767">
        <f t="shared" si="36"/>
        <v>300</v>
      </c>
      <c r="AG25" s="767">
        <f t="shared" si="36"/>
        <v>300</v>
      </c>
      <c r="AH25" s="767">
        <f t="shared" si="36"/>
        <v>300</v>
      </c>
      <c r="AI25" s="767">
        <f t="shared" si="36"/>
        <v>300</v>
      </c>
      <c r="AJ25" s="767">
        <f t="shared" si="36"/>
        <v>300</v>
      </c>
      <c r="AK25" s="693"/>
    </row>
    <row r="26" spans="1:37" s="674" customFormat="1" ht="13.15" customHeight="1" x14ac:dyDescent="0.2">
      <c r="A26" s="680"/>
      <c r="B26" s="681"/>
      <c r="C26" s="682"/>
      <c r="D26" s="682"/>
      <c r="E26" s="682"/>
      <c r="F26" s="682"/>
      <c r="G26" s="682"/>
      <c r="H26" s="682"/>
      <c r="I26" s="682"/>
      <c r="J26" s="682"/>
      <c r="K26" s="682"/>
      <c r="L26" s="682"/>
      <c r="M26" s="682"/>
      <c r="N26" s="682"/>
      <c r="O26" s="683"/>
      <c r="P26" s="682"/>
      <c r="Q26" s="682"/>
      <c r="R26" s="682"/>
      <c r="S26" s="682"/>
      <c r="T26" s="682"/>
      <c r="U26" s="682"/>
      <c r="V26" s="682"/>
      <c r="W26" s="682"/>
      <c r="X26" s="682"/>
      <c r="Y26" s="682"/>
      <c r="Z26" s="682"/>
      <c r="AA26" s="682"/>
      <c r="AB26" s="683"/>
      <c r="AC26" s="683"/>
      <c r="AD26" s="683"/>
      <c r="AE26" s="683"/>
    </row>
    <row r="27" spans="1:37" s="766" customFormat="1" ht="13.15" customHeight="1" x14ac:dyDescent="0.2">
      <c r="A27" s="763" t="s">
        <v>321</v>
      </c>
      <c r="B27" s="764"/>
      <c r="C27" s="765">
        <f>C23*C25</f>
        <v>0</v>
      </c>
      <c r="D27" s="765">
        <f t="shared" ref="D27:N27" si="37">D23*D25</f>
        <v>0</v>
      </c>
      <c r="E27" s="765">
        <f t="shared" si="37"/>
        <v>0</v>
      </c>
      <c r="F27" s="765">
        <f t="shared" si="37"/>
        <v>0</v>
      </c>
      <c r="G27" s="765">
        <f t="shared" si="37"/>
        <v>0</v>
      </c>
      <c r="H27" s="765">
        <f t="shared" si="37"/>
        <v>0</v>
      </c>
      <c r="I27" s="765">
        <f t="shared" si="37"/>
        <v>0</v>
      </c>
      <c r="J27" s="765">
        <f t="shared" si="37"/>
        <v>0</v>
      </c>
      <c r="K27" s="765">
        <f t="shared" si="37"/>
        <v>0</v>
      </c>
      <c r="L27" s="765">
        <f t="shared" si="37"/>
        <v>0</v>
      </c>
      <c r="M27" s="765">
        <f t="shared" si="37"/>
        <v>0</v>
      </c>
      <c r="N27" s="765">
        <f t="shared" si="37"/>
        <v>0</v>
      </c>
      <c r="O27" s="765">
        <f>SUM(C27:N27)</f>
        <v>0</v>
      </c>
      <c r="P27" s="765">
        <f>P23*P25</f>
        <v>267031.25</v>
      </c>
      <c r="Q27" s="765">
        <f t="shared" ref="Q27:AA27" si="38">Q23*Q25</f>
        <v>296562.5</v>
      </c>
      <c r="R27" s="765">
        <f t="shared" si="38"/>
        <v>326093.75</v>
      </c>
      <c r="S27" s="765">
        <f t="shared" si="38"/>
        <v>355625</v>
      </c>
      <c r="T27" s="765">
        <f t="shared" si="38"/>
        <v>385156.25</v>
      </c>
      <c r="U27" s="765">
        <f t="shared" si="38"/>
        <v>414687.5</v>
      </c>
      <c r="V27" s="765">
        <f t="shared" si="38"/>
        <v>444218.75</v>
      </c>
      <c r="W27" s="765">
        <f t="shared" si="38"/>
        <v>473750</v>
      </c>
      <c r="X27" s="765">
        <f t="shared" si="38"/>
        <v>503281.25000000012</v>
      </c>
      <c r="Y27" s="765">
        <f t="shared" si="38"/>
        <v>532812.50000000012</v>
      </c>
      <c r="Z27" s="765">
        <f t="shared" si="38"/>
        <v>562343.75000000012</v>
      </c>
      <c r="AA27" s="765">
        <f t="shared" si="38"/>
        <v>591875.00000000012</v>
      </c>
      <c r="AB27" s="765">
        <f>SUM(P27:AA27)</f>
        <v>5153437.5</v>
      </c>
      <c r="AC27" s="765">
        <f t="shared" ref="AC27:AJ27" si="39">AC23*AC25</f>
        <v>9547687.5000000019</v>
      </c>
      <c r="AD27" s="765">
        <f t="shared" si="39"/>
        <v>16781190.000000004</v>
      </c>
      <c r="AE27" s="765">
        <f t="shared" si="39"/>
        <v>31548251.400000006</v>
      </c>
      <c r="AF27" s="765">
        <f t="shared" si="39"/>
        <v>46758324.642000005</v>
      </c>
      <c r="AG27" s="765">
        <f t="shared" si="39"/>
        <v>56231139.124949992</v>
      </c>
      <c r="AH27" s="765">
        <f t="shared" si="39"/>
        <v>64443622.067249984</v>
      </c>
      <c r="AI27" s="765">
        <f t="shared" si="39"/>
        <v>72656105.009549975</v>
      </c>
      <c r="AJ27" s="765">
        <f t="shared" si="39"/>
        <v>80868587.951849967</v>
      </c>
    </row>
    <row r="28" spans="1:37" s="674" customFormat="1" ht="13.15" customHeight="1" x14ac:dyDescent="0.2">
      <c r="A28" s="680"/>
      <c r="B28" s="681"/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3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682"/>
      <c r="AA28" s="682"/>
      <c r="AB28" s="683"/>
      <c r="AC28" s="683"/>
      <c r="AD28" s="683"/>
      <c r="AE28" s="683"/>
    </row>
    <row r="29" spans="1:37" s="674" customFormat="1" ht="13.15" customHeight="1" x14ac:dyDescent="0.2">
      <c r="A29" s="680"/>
      <c r="B29" s="681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3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3"/>
      <c r="AC29" s="683"/>
      <c r="AD29" s="683"/>
      <c r="AE29" s="683"/>
    </row>
    <row r="30" spans="1:37" s="674" customFormat="1" ht="13.15" customHeight="1" x14ac:dyDescent="0.2">
      <c r="A30" s="676" t="s">
        <v>441</v>
      </c>
      <c r="B30" s="677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9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9"/>
      <c r="AC30" s="679"/>
      <c r="AD30" s="679"/>
      <c r="AE30" s="679"/>
    </row>
    <row r="31" spans="1:37" s="674" customFormat="1" ht="13.15" customHeight="1" x14ac:dyDescent="0.2">
      <c r="A31" s="674" t="s">
        <v>250</v>
      </c>
      <c r="B31" s="681"/>
      <c r="C31" s="690">
        <f>$O31/12</f>
        <v>29166.666666666668</v>
      </c>
      <c r="D31" s="690">
        <f t="shared" ref="D31:N31" si="40">$O31/12</f>
        <v>29166.666666666668</v>
      </c>
      <c r="E31" s="690">
        <f t="shared" si="40"/>
        <v>29166.666666666668</v>
      </c>
      <c r="F31" s="690">
        <f t="shared" si="40"/>
        <v>29166.666666666668</v>
      </c>
      <c r="G31" s="690">
        <f t="shared" si="40"/>
        <v>29166.666666666668</v>
      </c>
      <c r="H31" s="690">
        <f t="shared" si="40"/>
        <v>29166.666666666668</v>
      </c>
      <c r="I31" s="690">
        <f t="shared" si="40"/>
        <v>29166.666666666668</v>
      </c>
      <c r="J31" s="690">
        <f t="shared" si="40"/>
        <v>29166.666666666668</v>
      </c>
      <c r="K31" s="690">
        <f t="shared" si="40"/>
        <v>29166.666666666668</v>
      </c>
      <c r="L31" s="690">
        <f t="shared" si="40"/>
        <v>29166.666666666668</v>
      </c>
      <c r="M31" s="690">
        <f t="shared" si="40"/>
        <v>29166.666666666668</v>
      </c>
      <c r="N31" s="690">
        <f t="shared" si="40"/>
        <v>29166.666666666668</v>
      </c>
      <c r="O31" s="689">
        <v>350000</v>
      </c>
      <c r="P31" s="690">
        <f>$AB31/12</f>
        <v>30625</v>
      </c>
      <c r="Q31" s="690">
        <f t="shared" ref="Q31:AA31" si="41">$AB31/12</f>
        <v>30625</v>
      </c>
      <c r="R31" s="690">
        <f t="shared" si="41"/>
        <v>30625</v>
      </c>
      <c r="S31" s="690">
        <f t="shared" si="41"/>
        <v>30625</v>
      </c>
      <c r="T31" s="690">
        <f t="shared" si="41"/>
        <v>30625</v>
      </c>
      <c r="U31" s="690">
        <f t="shared" si="41"/>
        <v>30625</v>
      </c>
      <c r="V31" s="690">
        <f t="shared" si="41"/>
        <v>30625</v>
      </c>
      <c r="W31" s="690">
        <f t="shared" si="41"/>
        <v>30625</v>
      </c>
      <c r="X31" s="690">
        <f t="shared" si="41"/>
        <v>30625</v>
      </c>
      <c r="Y31" s="690">
        <f t="shared" si="41"/>
        <v>30625</v>
      </c>
      <c r="Z31" s="690">
        <f t="shared" si="41"/>
        <v>30625</v>
      </c>
      <c r="AA31" s="690">
        <f t="shared" si="41"/>
        <v>30625</v>
      </c>
      <c r="AB31" s="690">
        <f>O31*(1+AB32)</f>
        <v>367500</v>
      </c>
      <c r="AC31" s="690">
        <f>AB31*(1+AC32)</f>
        <v>385875</v>
      </c>
      <c r="AD31" s="690">
        <f t="shared" ref="AD31:AJ31" si="42">AC31*(1+AD32)</f>
        <v>401310</v>
      </c>
      <c r="AE31" s="690">
        <f t="shared" si="42"/>
        <v>413349.3</v>
      </c>
      <c r="AF31" s="690">
        <f t="shared" si="42"/>
        <v>421616.28600000002</v>
      </c>
      <c r="AG31" s="690">
        <f t="shared" si="42"/>
        <v>425832.44886</v>
      </c>
      <c r="AH31" s="690">
        <f t="shared" si="42"/>
        <v>425832.44886</v>
      </c>
      <c r="AI31" s="690">
        <f t="shared" si="42"/>
        <v>425832.44886</v>
      </c>
      <c r="AJ31" s="690">
        <f t="shared" si="42"/>
        <v>425832.44886</v>
      </c>
    </row>
    <row r="32" spans="1:37" s="688" customFormat="1" ht="13.15" customHeight="1" x14ac:dyDescent="0.2">
      <c r="A32" s="680" t="s">
        <v>324</v>
      </c>
      <c r="B32" s="681"/>
      <c r="C32" s="687"/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92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7">
        <v>0.05</v>
      </c>
      <c r="AC32" s="687">
        <v>0.05</v>
      </c>
      <c r="AD32" s="687">
        <f>AC32-1%</f>
        <v>0.04</v>
      </c>
      <c r="AE32" s="687">
        <f>AD32-1%</f>
        <v>0.03</v>
      </c>
      <c r="AF32" s="687">
        <f>AE32-1%</f>
        <v>1.9999999999999997E-2</v>
      </c>
      <c r="AG32" s="687">
        <f>AF32-1%</f>
        <v>9.9999999999999967E-3</v>
      </c>
      <c r="AH32" s="687">
        <f>AG32-1%</f>
        <v>0</v>
      </c>
      <c r="AI32" s="688">
        <f>AH32</f>
        <v>0</v>
      </c>
      <c r="AJ32" s="688">
        <f>AI32</f>
        <v>0</v>
      </c>
    </row>
    <row r="33" spans="1:36" s="688" customFormat="1" ht="13.15" customHeight="1" x14ac:dyDescent="0.2">
      <c r="A33" s="680" t="s">
        <v>248</v>
      </c>
      <c r="B33" s="681"/>
      <c r="C33" s="687">
        <f t="shared" ref="C33:N33" si="43">C6</f>
        <v>0</v>
      </c>
      <c r="D33" s="687">
        <f t="shared" si="43"/>
        <v>0</v>
      </c>
      <c r="E33" s="687">
        <f t="shared" si="43"/>
        <v>0</v>
      </c>
      <c r="F33" s="687">
        <f t="shared" si="43"/>
        <v>0</v>
      </c>
      <c r="G33" s="687">
        <f t="shared" si="43"/>
        <v>0</v>
      </c>
      <c r="H33" s="687">
        <f t="shared" si="43"/>
        <v>0</v>
      </c>
      <c r="I33" s="687">
        <f t="shared" si="43"/>
        <v>0</v>
      </c>
      <c r="J33" s="687">
        <f t="shared" si="43"/>
        <v>0</v>
      </c>
      <c r="K33" s="687">
        <f t="shared" si="43"/>
        <v>0</v>
      </c>
      <c r="L33" s="687">
        <f t="shared" si="43"/>
        <v>0</v>
      </c>
      <c r="M33" s="687">
        <f t="shared" si="43"/>
        <v>0</v>
      </c>
      <c r="N33" s="687">
        <f t="shared" si="43"/>
        <v>0</v>
      </c>
      <c r="O33" s="692">
        <f>N33</f>
        <v>0</v>
      </c>
      <c r="P33" s="687">
        <f t="shared" ref="P33:AA33" si="44">P6</f>
        <v>1E-3</v>
      </c>
      <c r="Q33" s="687">
        <f t="shared" si="44"/>
        <v>2E-3</v>
      </c>
      <c r="R33" s="687">
        <f t="shared" si="44"/>
        <v>3.0000000000000001E-3</v>
      </c>
      <c r="S33" s="687">
        <f t="shared" si="44"/>
        <v>4.0000000000000001E-3</v>
      </c>
      <c r="T33" s="687">
        <f t="shared" si="44"/>
        <v>5.0000000000000001E-3</v>
      </c>
      <c r="U33" s="687">
        <f t="shared" si="44"/>
        <v>6.0000000000000001E-3</v>
      </c>
      <c r="V33" s="687">
        <f t="shared" si="44"/>
        <v>7.0000000000000001E-3</v>
      </c>
      <c r="W33" s="687">
        <f t="shared" si="44"/>
        <v>8.0000000000000002E-3</v>
      </c>
      <c r="X33" s="687">
        <f t="shared" si="44"/>
        <v>9.0000000000000011E-3</v>
      </c>
      <c r="Y33" s="687">
        <f t="shared" si="44"/>
        <v>1.0000000000000002E-2</v>
      </c>
      <c r="Z33" s="687">
        <f t="shared" si="44"/>
        <v>1.1000000000000003E-2</v>
      </c>
      <c r="AA33" s="687">
        <f t="shared" si="44"/>
        <v>1.2000000000000004E-2</v>
      </c>
      <c r="AB33" s="692">
        <f>AA33</f>
        <v>1.2000000000000004E-2</v>
      </c>
      <c r="AC33" s="687">
        <f>AC6</f>
        <v>2.4000000000000007E-2</v>
      </c>
      <c r="AD33" s="687">
        <f t="shared" ref="AD33:AJ33" si="45">AD6</f>
        <v>4.8000000000000015E-2</v>
      </c>
      <c r="AE33" s="687">
        <f t="shared" si="45"/>
        <v>9.600000000000003E-2</v>
      </c>
      <c r="AF33" s="687">
        <f t="shared" si="45"/>
        <v>0.12</v>
      </c>
      <c r="AG33" s="687">
        <f t="shared" si="45"/>
        <v>0.13999999999999999</v>
      </c>
      <c r="AH33" s="687">
        <f t="shared" si="45"/>
        <v>0.15999999999999998</v>
      </c>
      <c r="AI33" s="687">
        <f t="shared" si="45"/>
        <v>0.17999999999999997</v>
      </c>
      <c r="AJ33" s="687">
        <f t="shared" si="45"/>
        <v>0.19999999999999996</v>
      </c>
    </row>
    <row r="34" spans="1:36" s="674" customFormat="1" ht="13.15" customHeight="1" x14ac:dyDescent="0.2">
      <c r="A34" s="680" t="s">
        <v>251</v>
      </c>
      <c r="B34" s="681"/>
      <c r="C34" s="690">
        <f t="shared" ref="C34:N34" si="46">C31*C33</f>
        <v>0</v>
      </c>
      <c r="D34" s="690">
        <f t="shared" si="46"/>
        <v>0</v>
      </c>
      <c r="E34" s="690">
        <f t="shared" si="46"/>
        <v>0</v>
      </c>
      <c r="F34" s="690">
        <f t="shared" si="46"/>
        <v>0</v>
      </c>
      <c r="G34" s="690">
        <f t="shared" si="46"/>
        <v>0</v>
      </c>
      <c r="H34" s="690">
        <f t="shared" si="46"/>
        <v>0</v>
      </c>
      <c r="I34" s="690">
        <f t="shared" si="46"/>
        <v>0</v>
      </c>
      <c r="J34" s="690">
        <f t="shared" si="46"/>
        <v>0</v>
      </c>
      <c r="K34" s="690">
        <f t="shared" si="46"/>
        <v>0</v>
      </c>
      <c r="L34" s="690">
        <f t="shared" si="46"/>
        <v>0</v>
      </c>
      <c r="M34" s="690">
        <f t="shared" si="46"/>
        <v>0</v>
      </c>
      <c r="N34" s="690">
        <f t="shared" si="46"/>
        <v>0</v>
      </c>
      <c r="O34" s="683">
        <f>SUM(C34:N34)</f>
        <v>0</v>
      </c>
      <c r="P34" s="690">
        <f t="shared" ref="P34:AA34" si="47">P31*P33</f>
        <v>30.625</v>
      </c>
      <c r="Q34" s="690">
        <f t="shared" si="47"/>
        <v>61.25</v>
      </c>
      <c r="R34" s="690">
        <f t="shared" si="47"/>
        <v>91.875</v>
      </c>
      <c r="S34" s="690">
        <f t="shared" si="47"/>
        <v>122.5</v>
      </c>
      <c r="T34" s="690">
        <f t="shared" si="47"/>
        <v>153.125</v>
      </c>
      <c r="U34" s="690">
        <f t="shared" si="47"/>
        <v>183.75</v>
      </c>
      <c r="V34" s="690">
        <f t="shared" si="47"/>
        <v>214.375</v>
      </c>
      <c r="W34" s="690">
        <f t="shared" si="47"/>
        <v>245</v>
      </c>
      <c r="X34" s="690">
        <f t="shared" si="47"/>
        <v>275.62500000000006</v>
      </c>
      <c r="Y34" s="690">
        <f t="shared" si="47"/>
        <v>306.25000000000006</v>
      </c>
      <c r="Z34" s="690">
        <f t="shared" si="47"/>
        <v>336.87500000000011</v>
      </c>
      <c r="AA34" s="690">
        <f t="shared" si="47"/>
        <v>367.50000000000011</v>
      </c>
      <c r="AB34" s="690">
        <f>SUM(P34:AA34)</f>
        <v>2388.75</v>
      </c>
      <c r="AC34" s="690">
        <f>AC31*AVERAGE(AA33,AC33)</f>
        <v>6945.7500000000018</v>
      </c>
      <c r="AD34" s="690">
        <f t="shared" ref="AD34:AJ34" si="48">AD31*AVERAGE(AC33,AD33)</f>
        <v>14447.160000000005</v>
      </c>
      <c r="AE34" s="690">
        <f t="shared" si="48"/>
        <v>29761.149600000008</v>
      </c>
      <c r="AF34" s="690">
        <f t="shared" si="48"/>
        <v>45534.558888000007</v>
      </c>
      <c r="AG34" s="690">
        <f t="shared" si="48"/>
        <v>55358.218351800002</v>
      </c>
      <c r="AH34" s="690">
        <f t="shared" si="48"/>
        <v>63874.867328999986</v>
      </c>
      <c r="AI34" s="690">
        <f t="shared" si="48"/>
        <v>72391.516306199992</v>
      </c>
      <c r="AJ34" s="690">
        <f t="shared" si="48"/>
        <v>80908.165283399983</v>
      </c>
    </row>
    <row r="35" spans="1:36" s="674" customFormat="1" ht="13.15" customHeight="1" x14ac:dyDescent="0.2">
      <c r="A35" s="680" t="s">
        <v>249</v>
      </c>
      <c r="B35" s="681"/>
      <c r="C35" s="686">
        <v>2.5</v>
      </c>
      <c r="D35" s="686">
        <f>C35</f>
        <v>2.5</v>
      </c>
      <c r="E35" s="686">
        <f t="shared" ref="E35:N35" si="49">D35</f>
        <v>2.5</v>
      </c>
      <c r="F35" s="686">
        <f t="shared" si="49"/>
        <v>2.5</v>
      </c>
      <c r="G35" s="686">
        <f t="shared" si="49"/>
        <v>2.5</v>
      </c>
      <c r="H35" s="686">
        <f t="shared" si="49"/>
        <v>2.5</v>
      </c>
      <c r="I35" s="686">
        <f t="shared" si="49"/>
        <v>2.5</v>
      </c>
      <c r="J35" s="686">
        <f t="shared" si="49"/>
        <v>2.5</v>
      </c>
      <c r="K35" s="686">
        <f t="shared" si="49"/>
        <v>2.5</v>
      </c>
      <c r="L35" s="686">
        <f t="shared" si="49"/>
        <v>2.5</v>
      </c>
      <c r="M35" s="686">
        <f t="shared" si="49"/>
        <v>2.5</v>
      </c>
      <c r="N35" s="686">
        <f t="shared" si="49"/>
        <v>2.5</v>
      </c>
      <c r="O35" s="685">
        <f>N35</f>
        <v>2.5</v>
      </c>
      <c r="P35" s="686">
        <f>N35</f>
        <v>2.5</v>
      </c>
      <c r="Q35" s="686">
        <f>P35</f>
        <v>2.5</v>
      </c>
      <c r="R35" s="686">
        <f t="shared" ref="R35:AA35" si="50">Q35</f>
        <v>2.5</v>
      </c>
      <c r="S35" s="686">
        <f t="shared" si="50"/>
        <v>2.5</v>
      </c>
      <c r="T35" s="686">
        <f t="shared" si="50"/>
        <v>2.5</v>
      </c>
      <c r="U35" s="686">
        <f t="shared" si="50"/>
        <v>2.5</v>
      </c>
      <c r="V35" s="686">
        <f t="shared" si="50"/>
        <v>2.5</v>
      </c>
      <c r="W35" s="686">
        <f t="shared" si="50"/>
        <v>2.5</v>
      </c>
      <c r="X35" s="686">
        <f t="shared" si="50"/>
        <v>2.5</v>
      </c>
      <c r="Y35" s="686">
        <f t="shared" si="50"/>
        <v>2.5</v>
      </c>
      <c r="Z35" s="686">
        <f t="shared" si="50"/>
        <v>2.5</v>
      </c>
      <c r="AA35" s="686">
        <f t="shared" si="50"/>
        <v>2.5</v>
      </c>
      <c r="AB35" s="686">
        <f>AA35</f>
        <v>2.5</v>
      </c>
      <c r="AC35" s="686">
        <f>AB35</f>
        <v>2.5</v>
      </c>
      <c r="AD35" s="686">
        <f t="shared" ref="AD35:AJ35" si="51">AC35</f>
        <v>2.5</v>
      </c>
      <c r="AE35" s="686">
        <f t="shared" si="51"/>
        <v>2.5</v>
      </c>
      <c r="AF35" s="686">
        <f t="shared" si="51"/>
        <v>2.5</v>
      </c>
      <c r="AG35" s="686">
        <f t="shared" si="51"/>
        <v>2.5</v>
      </c>
      <c r="AH35" s="686">
        <f t="shared" si="51"/>
        <v>2.5</v>
      </c>
      <c r="AI35" s="686">
        <f t="shared" si="51"/>
        <v>2.5</v>
      </c>
      <c r="AJ35" s="686">
        <f t="shared" si="51"/>
        <v>2.5</v>
      </c>
    </row>
    <row r="36" spans="1:36" s="674" customFormat="1" ht="13.15" customHeight="1" x14ac:dyDescent="0.2">
      <c r="A36" s="680" t="s">
        <v>255</v>
      </c>
      <c r="B36" s="681"/>
      <c r="C36" s="690">
        <f t="shared" ref="C36:N36" si="52">C34*C35</f>
        <v>0</v>
      </c>
      <c r="D36" s="690">
        <f t="shared" si="52"/>
        <v>0</v>
      </c>
      <c r="E36" s="690">
        <f t="shared" si="52"/>
        <v>0</v>
      </c>
      <c r="F36" s="690">
        <f t="shared" si="52"/>
        <v>0</v>
      </c>
      <c r="G36" s="690">
        <f t="shared" si="52"/>
        <v>0</v>
      </c>
      <c r="H36" s="690">
        <f t="shared" si="52"/>
        <v>0</v>
      </c>
      <c r="I36" s="690">
        <f t="shared" si="52"/>
        <v>0</v>
      </c>
      <c r="J36" s="690">
        <f t="shared" si="52"/>
        <v>0</v>
      </c>
      <c r="K36" s="690">
        <f t="shared" si="52"/>
        <v>0</v>
      </c>
      <c r="L36" s="690">
        <f t="shared" si="52"/>
        <v>0</v>
      </c>
      <c r="M36" s="690">
        <f t="shared" si="52"/>
        <v>0</v>
      </c>
      <c r="N36" s="690">
        <f t="shared" si="52"/>
        <v>0</v>
      </c>
      <c r="O36" s="691">
        <f>SUM(C36:N36)</f>
        <v>0</v>
      </c>
      <c r="P36" s="690">
        <f t="shared" ref="P36:AA36" si="53">P34*P35</f>
        <v>76.5625</v>
      </c>
      <c r="Q36" s="690">
        <f t="shared" si="53"/>
        <v>153.125</v>
      </c>
      <c r="R36" s="690">
        <f t="shared" si="53"/>
        <v>229.6875</v>
      </c>
      <c r="S36" s="690">
        <f t="shared" si="53"/>
        <v>306.25</v>
      </c>
      <c r="T36" s="690">
        <f t="shared" si="53"/>
        <v>382.8125</v>
      </c>
      <c r="U36" s="690">
        <f t="shared" si="53"/>
        <v>459.375</v>
      </c>
      <c r="V36" s="690">
        <f t="shared" si="53"/>
        <v>535.9375</v>
      </c>
      <c r="W36" s="690">
        <f t="shared" si="53"/>
        <v>612.5</v>
      </c>
      <c r="X36" s="690">
        <f t="shared" si="53"/>
        <v>689.06250000000011</v>
      </c>
      <c r="Y36" s="690">
        <f t="shared" si="53"/>
        <v>765.62500000000011</v>
      </c>
      <c r="Z36" s="690">
        <f t="shared" si="53"/>
        <v>842.18750000000023</v>
      </c>
      <c r="AA36" s="690">
        <f t="shared" si="53"/>
        <v>918.75000000000023</v>
      </c>
      <c r="AB36" s="691">
        <f>SUM(P36:AA36)</f>
        <v>5971.875</v>
      </c>
      <c r="AC36" s="690">
        <f t="shared" ref="AC36:AJ36" si="54">AC34*AC35</f>
        <v>17364.375000000004</v>
      </c>
      <c r="AD36" s="690">
        <f t="shared" si="54"/>
        <v>36117.900000000016</v>
      </c>
      <c r="AE36" s="690">
        <f t="shared" si="54"/>
        <v>74402.874000000025</v>
      </c>
      <c r="AF36" s="690">
        <f t="shared" si="54"/>
        <v>113836.39722000001</v>
      </c>
      <c r="AG36" s="690">
        <f t="shared" si="54"/>
        <v>138395.54587950002</v>
      </c>
      <c r="AH36" s="690">
        <f t="shared" si="54"/>
        <v>159687.16832249996</v>
      </c>
      <c r="AI36" s="690">
        <f t="shared" si="54"/>
        <v>180978.79076549999</v>
      </c>
      <c r="AJ36" s="690">
        <f t="shared" si="54"/>
        <v>202270.41320849996</v>
      </c>
    </row>
    <row r="38" spans="1:36" s="674" customFormat="1" ht="13.15" customHeight="1" x14ac:dyDescent="0.2">
      <c r="A38" s="680" t="s">
        <v>253</v>
      </c>
      <c r="B38" s="681"/>
      <c r="C38" s="689">
        <v>4</v>
      </c>
      <c r="D38" s="689">
        <f>C38+4</f>
        <v>8</v>
      </c>
      <c r="E38" s="689">
        <f>D38+4</f>
        <v>12</v>
      </c>
      <c r="F38" s="689">
        <f>E38+4</f>
        <v>16</v>
      </c>
      <c r="G38" s="689">
        <f>F38+4</f>
        <v>20</v>
      </c>
      <c r="H38" s="689">
        <v>20</v>
      </c>
      <c r="I38" s="689">
        <v>20</v>
      </c>
      <c r="J38" s="689">
        <v>20</v>
      </c>
      <c r="K38" s="689">
        <v>20</v>
      </c>
      <c r="L38" s="689">
        <v>20</v>
      </c>
      <c r="M38" s="689">
        <v>20</v>
      </c>
      <c r="N38" s="689">
        <v>20</v>
      </c>
      <c r="O38" s="690">
        <f>N38</f>
        <v>20</v>
      </c>
      <c r="P38" s="689">
        <f>O38</f>
        <v>20</v>
      </c>
      <c r="Q38" s="689">
        <f t="shared" ref="Q38:AA38" si="55">P38</f>
        <v>20</v>
      </c>
      <c r="R38" s="689">
        <f t="shared" si="55"/>
        <v>20</v>
      </c>
      <c r="S38" s="689">
        <f t="shared" si="55"/>
        <v>20</v>
      </c>
      <c r="T38" s="689">
        <f t="shared" si="55"/>
        <v>20</v>
      </c>
      <c r="U38" s="689">
        <f t="shared" si="55"/>
        <v>20</v>
      </c>
      <c r="V38" s="689">
        <f t="shared" si="55"/>
        <v>20</v>
      </c>
      <c r="W38" s="689">
        <f t="shared" si="55"/>
        <v>20</v>
      </c>
      <c r="X38" s="689">
        <f t="shared" si="55"/>
        <v>20</v>
      </c>
      <c r="Y38" s="689">
        <f t="shared" si="55"/>
        <v>20</v>
      </c>
      <c r="Z38" s="689">
        <f t="shared" si="55"/>
        <v>20</v>
      </c>
      <c r="AA38" s="689">
        <f t="shared" si="55"/>
        <v>20</v>
      </c>
      <c r="AB38" s="690">
        <f>AA38</f>
        <v>20</v>
      </c>
      <c r="AC38" s="689">
        <v>20</v>
      </c>
      <c r="AD38" s="689">
        <v>20</v>
      </c>
      <c r="AE38" s="689">
        <v>20</v>
      </c>
      <c r="AF38" s="689">
        <v>20</v>
      </c>
      <c r="AG38" s="689">
        <v>20</v>
      </c>
      <c r="AH38" s="689">
        <v>20</v>
      </c>
      <c r="AI38" s="689">
        <v>20</v>
      </c>
      <c r="AJ38" s="689">
        <v>20</v>
      </c>
    </row>
    <row r="39" spans="1:36" s="674" customFormat="1" ht="13.15" customHeight="1" x14ac:dyDescent="0.2">
      <c r="A39" s="680" t="s">
        <v>252</v>
      </c>
      <c r="B39" s="681"/>
      <c r="C39" s="689">
        <v>0</v>
      </c>
      <c r="D39" s="689">
        <v>0</v>
      </c>
      <c r="E39" s="689">
        <v>0</v>
      </c>
      <c r="F39" s="689">
        <v>0</v>
      </c>
      <c r="G39" s="689">
        <v>0</v>
      </c>
      <c r="H39" s="689">
        <v>0</v>
      </c>
      <c r="I39" s="689">
        <v>0</v>
      </c>
      <c r="J39" s="689">
        <v>0</v>
      </c>
      <c r="K39" s="689">
        <v>0</v>
      </c>
      <c r="L39" s="689">
        <v>0</v>
      </c>
      <c r="M39" s="689">
        <v>0</v>
      </c>
      <c r="N39" s="689">
        <v>0</v>
      </c>
      <c r="O39" s="683">
        <f>SUM(C39:N39)</f>
        <v>0</v>
      </c>
      <c r="P39" s="689">
        <f t="shared" ref="P39:AA39" si="56">100/12</f>
        <v>8.3333333333333339</v>
      </c>
      <c r="Q39" s="689">
        <f t="shared" si="56"/>
        <v>8.3333333333333339</v>
      </c>
      <c r="R39" s="689">
        <f t="shared" si="56"/>
        <v>8.3333333333333339</v>
      </c>
      <c r="S39" s="689">
        <f t="shared" si="56"/>
        <v>8.3333333333333339</v>
      </c>
      <c r="T39" s="689">
        <f t="shared" si="56"/>
        <v>8.3333333333333339</v>
      </c>
      <c r="U39" s="689">
        <f t="shared" si="56"/>
        <v>8.3333333333333339</v>
      </c>
      <c r="V39" s="689">
        <f t="shared" si="56"/>
        <v>8.3333333333333339</v>
      </c>
      <c r="W39" s="689">
        <f t="shared" si="56"/>
        <v>8.3333333333333339</v>
      </c>
      <c r="X39" s="689">
        <f t="shared" si="56"/>
        <v>8.3333333333333339</v>
      </c>
      <c r="Y39" s="689">
        <f t="shared" si="56"/>
        <v>8.3333333333333339</v>
      </c>
      <c r="Z39" s="689">
        <f t="shared" si="56"/>
        <v>8.3333333333333339</v>
      </c>
      <c r="AA39" s="689">
        <f t="shared" si="56"/>
        <v>8.3333333333333339</v>
      </c>
      <c r="AB39" s="683">
        <f>SUM(P39:AA39)</f>
        <v>99.999999999999986</v>
      </c>
      <c r="AC39" s="689">
        <v>100</v>
      </c>
      <c r="AD39" s="689">
        <v>100</v>
      </c>
      <c r="AE39" s="689">
        <v>100</v>
      </c>
      <c r="AF39" s="689">
        <v>100</v>
      </c>
      <c r="AG39" s="689">
        <v>100</v>
      </c>
      <c r="AH39" s="689">
        <v>100</v>
      </c>
      <c r="AI39" s="689">
        <v>100</v>
      </c>
      <c r="AJ39" s="689">
        <v>100</v>
      </c>
    </row>
    <row r="40" spans="1:36" s="674" customFormat="1" ht="13.15" customHeight="1" x14ac:dyDescent="0.2">
      <c r="A40" s="680" t="s">
        <v>254</v>
      </c>
      <c r="B40" s="681"/>
      <c r="C40" s="690">
        <f t="shared" ref="C40:N40" si="57">C38*C39</f>
        <v>0</v>
      </c>
      <c r="D40" s="690">
        <f t="shared" si="57"/>
        <v>0</v>
      </c>
      <c r="E40" s="690">
        <f t="shared" si="57"/>
        <v>0</v>
      </c>
      <c r="F40" s="690">
        <f t="shared" si="57"/>
        <v>0</v>
      </c>
      <c r="G40" s="690">
        <f t="shared" si="57"/>
        <v>0</v>
      </c>
      <c r="H40" s="690">
        <f t="shared" si="57"/>
        <v>0</v>
      </c>
      <c r="I40" s="690">
        <f t="shared" si="57"/>
        <v>0</v>
      </c>
      <c r="J40" s="690">
        <f t="shared" si="57"/>
        <v>0</v>
      </c>
      <c r="K40" s="690">
        <f t="shared" si="57"/>
        <v>0</v>
      </c>
      <c r="L40" s="690">
        <f t="shared" si="57"/>
        <v>0</v>
      </c>
      <c r="M40" s="690">
        <f t="shared" si="57"/>
        <v>0</v>
      </c>
      <c r="N40" s="690">
        <f t="shared" si="57"/>
        <v>0</v>
      </c>
      <c r="O40" s="683">
        <f>SUM(C40:N40)</f>
        <v>0</v>
      </c>
      <c r="P40" s="690">
        <f t="shared" ref="P40:AA40" si="58">P38*P39</f>
        <v>166.66666666666669</v>
      </c>
      <c r="Q40" s="690">
        <f t="shared" si="58"/>
        <v>166.66666666666669</v>
      </c>
      <c r="R40" s="690">
        <f t="shared" si="58"/>
        <v>166.66666666666669</v>
      </c>
      <c r="S40" s="690">
        <f t="shared" si="58"/>
        <v>166.66666666666669</v>
      </c>
      <c r="T40" s="690">
        <f t="shared" si="58"/>
        <v>166.66666666666669</v>
      </c>
      <c r="U40" s="690">
        <f t="shared" si="58"/>
        <v>166.66666666666669</v>
      </c>
      <c r="V40" s="690">
        <f t="shared" si="58"/>
        <v>166.66666666666669</v>
      </c>
      <c r="W40" s="690">
        <f t="shared" si="58"/>
        <v>166.66666666666669</v>
      </c>
      <c r="X40" s="690">
        <f t="shared" si="58"/>
        <v>166.66666666666669</v>
      </c>
      <c r="Y40" s="690">
        <f t="shared" si="58"/>
        <v>166.66666666666669</v>
      </c>
      <c r="Z40" s="690">
        <f t="shared" si="58"/>
        <v>166.66666666666669</v>
      </c>
      <c r="AA40" s="690">
        <f t="shared" si="58"/>
        <v>166.66666666666669</v>
      </c>
      <c r="AB40" s="690">
        <f>SUM(P40:AA40)</f>
        <v>2000.0000000000007</v>
      </c>
      <c r="AC40" s="690">
        <f t="shared" ref="AC40:AJ40" si="59">AC38*AC39</f>
        <v>2000</v>
      </c>
      <c r="AD40" s="690">
        <f t="shared" si="59"/>
        <v>2000</v>
      </c>
      <c r="AE40" s="690">
        <f t="shared" si="59"/>
        <v>2000</v>
      </c>
      <c r="AF40" s="690">
        <f t="shared" si="59"/>
        <v>2000</v>
      </c>
      <c r="AG40" s="690">
        <f t="shared" si="59"/>
        <v>2000</v>
      </c>
      <c r="AH40" s="690">
        <f t="shared" si="59"/>
        <v>2000</v>
      </c>
      <c r="AI40" s="690">
        <f t="shared" si="59"/>
        <v>2000</v>
      </c>
      <c r="AJ40" s="690">
        <f t="shared" si="59"/>
        <v>2000</v>
      </c>
    </row>
    <row r="41" spans="1:36" s="674" customFormat="1" ht="13.15" customHeight="1" x14ac:dyDescent="0.2">
      <c r="A41" s="680" t="s">
        <v>249</v>
      </c>
      <c r="B41" s="681"/>
      <c r="C41" s="685">
        <f>C35</f>
        <v>2.5</v>
      </c>
      <c r="D41" s="685">
        <f t="shared" ref="D41:AJ41" si="60">D35</f>
        <v>2.5</v>
      </c>
      <c r="E41" s="685">
        <f t="shared" si="60"/>
        <v>2.5</v>
      </c>
      <c r="F41" s="685">
        <f t="shared" si="60"/>
        <v>2.5</v>
      </c>
      <c r="G41" s="685">
        <f t="shared" si="60"/>
        <v>2.5</v>
      </c>
      <c r="H41" s="685">
        <f t="shared" si="60"/>
        <v>2.5</v>
      </c>
      <c r="I41" s="685">
        <f t="shared" si="60"/>
        <v>2.5</v>
      </c>
      <c r="J41" s="685">
        <f t="shared" si="60"/>
        <v>2.5</v>
      </c>
      <c r="K41" s="685">
        <f t="shared" si="60"/>
        <v>2.5</v>
      </c>
      <c r="L41" s="685">
        <f t="shared" si="60"/>
        <v>2.5</v>
      </c>
      <c r="M41" s="685">
        <f t="shared" si="60"/>
        <v>2.5</v>
      </c>
      <c r="N41" s="685">
        <f t="shared" si="60"/>
        <v>2.5</v>
      </c>
      <c r="O41" s="685">
        <f t="shared" si="60"/>
        <v>2.5</v>
      </c>
      <c r="P41" s="685">
        <f t="shared" si="60"/>
        <v>2.5</v>
      </c>
      <c r="Q41" s="685">
        <f t="shared" si="60"/>
        <v>2.5</v>
      </c>
      <c r="R41" s="685">
        <f t="shared" si="60"/>
        <v>2.5</v>
      </c>
      <c r="S41" s="685">
        <f t="shared" si="60"/>
        <v>2.5</v>
      </c>
      <c r="T41" s="685">
        <f t="shared" si="60"/>
        <v>2.5</v>
      </c>
      <c r="U41" s="685">
        <f t="shared" si="60"/>
        <v>2.5</v>
      </c>
      <c r="V41" s="685">
        <f t="shared" si="60"/>
        <v>2.5</v>
      </c>
      <c r="W41" s="685">
        <f t="shared" si="60"/>
        <v>2.5</v>
      </c>
      <c r="X41" s="685">
        <f t="shared" si="60"/>
        <v>2.5</v>
      </c>
      <c r="Y41" s="685">
        <f t="shared" si="60"/>
        <v>2.5</v>
      </c>
      <c r="Z41" s="685">
        <f t="shared" si="60"/>
        <v>2.5</v>
      </c>
      <c r="AA41" s="685">
        <f t="shared" si="60"/>
        <v>2.5</v>
      </c>
      <c r="AB41" s="685">
        <f t="shared" si="60"/>
        <v>2.5</v>
      </c>
      <c r="AC41" s="685">
        <f t="shared" si="60"/>
        <v>2.5</v>
      </c>
      <c r="AD41" s="685">
        <f t="shared" si="60"/>
        <v>2.5</v>
      </c>
      <c r="AE41" s="685">
        <f t="shared" si="60"/>
        <v>2.5</v>
      </c>
      <c r="AF41" s="685">
        <f t="shared" si="60"/>
        <v>2.5</v>
      </c>
      <c r="AG41" s="685">
        <f t="shared" si="60"/>
        <v>2.5</v>
      </c>
      <c r="AH41" s="685">
        <f t="shared" si="60"/>
        <v>2.5</v>
      </c>
      <c r="AI41" s="685">
        <f t="shared" si="60"/>
        <v>2.5</v>
      </c>
      <c r="AJ41" s="685">
        <f t="shared" si="60"/>
        <v>2.5</v>
      </c>
    </row>
    <row r="42" spans="1:36" s="674" customFormat="1" ht="13.15" customHeight="1" x14ac:dyDescent="0.2">
      <c r="A42" s="680" t="s">
        <v>255</v>
      </c>
      <c r="B42" s="681"/>
      <c r="C42" s="690">
        <f t="shared" ref="C42:N42" si="61">C40*C41</f>
        <v>0</v>
      </c>
      <c r="D42" s="690">
        <f t="shared" si="61"/>
        <v>0</v>
      </c>
      <c r="E42" s="690">
        <f t="shared" si="61"/>
        <v>0</v>
      </c>
      <c r="F42" s="690">
        <f t="shared" si="61"/>
        <v>0</v>
      </c>
      <c r="G42" s="690">
        <f t="shared" si="61"/>
        <v>0</v>
      </c>
      <c r="H42" s="690">
        <f t="shared" si="61"/>
        <v>0</v>
      </c>
      <c r="I42" s="690">
        <f t="shared" si="61"/>
        <v>0</v>
      </c>
      <c r="J42" s="690">
        <f t="shared" si="61"/>
        <v>0</v>
      </c>
      <c r="K42" s="690">
        <f t="shared" si="61"/>
        <v>0</v>
      </c>
      <c r="L42" s="690">
        <f t="shared" si="61"/>
        <v>0</v>
      </c>
      <c r="M42" s="690">
        <f t="shared" si="61"/>
        <v>0</v>
      </c>
      <c r="N42" s="690">
        <f t="shared" si="61"/>
        <v>0</v>
      </c>
      <c r="O42" s="691">
        <f>SUM(C42:N42)</f>
        <v>0</v>
      </c>
      <c r="P42" s="690">
        <f t="shared" ref="P42:AA42" si="62">P40*P41</f>
        <v>416.66666666666674</v>
      </c>
      <c r="Q42" s="690">
        <f t="shared" si="62"/>
        <v>416.66666666666674</v>
      </c>
      <c r="R42" s="690">
        <f t="shared" si="62"/>
        <v>416.66666666666674</v>
      </c>
      <c r="S42" s="690">
        <f t="shared" si="62"/>
        <v>416.66666666666674</v>
      </c>
      <c r="T42" s="690">
        <f t="shared" si="62"/>
        <v>416.66666666666674</v>
      </c>
      <c r="U42" s="690">
        <f t="shared" si="62"/>
        <v>416.66666666666674</v>
      </c>
      <c r="V42" s="690">
        <f t="shared" si="62"/>
        <v>416.66666666666674</v>
      </c>
      <c r="W42" s="690">
        <f t="shared" si="62"/>
        <v>416.66666666666674</v>
      </c>
      <c r="X42" s="690">
        <f t="shared" si="62"/>
        <v>416.66666666666674</v>
      </c>
      <c r="Y42" s="690">
        <f t="shared" si="62"/>
        <v>416.66666666666674</v>
      </c>
      <c r="Z42" s="690">
        <f t="shared" si="62"/>
        <v>416.66666666666674</v>
      </c>
      <c r="AA42" s="690">
        <f t="shared" si="62"/>
        <v>416.66666666666674</v>
      </c>
      <c r="AB42" s="691">
        <f>SUM(P42:AA42)</f>
        <v>5000.0000000000027</v>
      </c>
      <c r="AC42" s="690">
        <f t="shared" ref="AC42:AJ42" si="63">AC40*AC41</f>
        <v>5000</v>
      </c>
      <c r="AD42" s="690">
        <f t="shared" si="63"/>
        <v>5000</v>
      </c>
      <c r="AE42" s="690">
        <f t="shared" si="63"/>
        <v>5000</v>
      </c>
      <c r="AF42" s="690">
        <f t="shared" si="63"/>
        <v>5000</v>
      </c>
      <c r="AG42" s="690">
        <f t="shared" si="63"/>
        <v>5000</v>
      </c>
      <c r="AH42" s="690">
        <f t="shared" si="63"/>
        <v>5000</v>
      </c>
      <c r="AI42" s="690">
        <f t="shared" si="63"/>
        <v>5000</v>
      </c>
      <c r="AJ42" s="690">
        <f t="shared" si="63"/>
        <v>5000</v>
      </c>
    </row>
    <row r="43" spans="1:36" s="674" customFormat="1" ht="13.15" customHeight="1" x14ac:dyDescent="0.2">
      <c r="B43" s="681"/>
      <c r="C43" s="682"/>
      <c r="D43" s="682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3"/>
      <c r="P43" s="682"/>
      <c r="Q43" s="682"/>
      <c r="R43" s="682"/>
      <c r="S43" s="682"/>
      <c r="T43" s="682"/>
      <c r="U43" s="682"/>
      <c r="V43" s="682"/>
      <c r="W43" s="682"/>
      <c r="X43" s="682"/>
      <c r="Y43" s="682"/>
      <c r="Z43" s="682"/>
      <c r="AA43" s="682"/>
      <c r="AB43" s="683"/>
      <c r="AC43" s="683"/>
      <c r="AD43" s="683"/>
      <c r="AE43" s="683"/>
    </row>
    <row r="44" spans="1:36" s="674" customFormat="1" ht="13.15" customHeight="1" x14ac:dyDescent="0.2">
      <c r="A44" s="680" t="s">
        <v>256</v>
      </c>
      <c r="B44" s="681"/>
      <c r="C44" s="689">
        <v>0</v>
      </c>
      <c r="D44" s="689">
        <v>0</v>
      </c>
      <c r="E44" s="689">
        <v>0</v>
      </c>
      <c r="F44" s="689">
        <v>0</v>
      </c>
      <c r="G44" s="689">
        <v>0</v>
      </c>
      <c r="H44" s="689">
        <v>0</v>
      </c>
      <c r="I44" s="689">
        <v>0</v>
      </c>
      <c r="J44" s="689">
        <v>0</v>
      </c>
      <c r="K44" s="689">
        <v>0</v>
      </c>
      <c r="L44" s="689">
        <v>0</v>
      </c>
      <c r="M44" s="689">
        <v>0</v>
      </c>
      <c r="N44" s="689">
        <v>0</v>
      </c>
      <c r="O44" s="690">
        <f>N44</f>
        <v>0</v>
      </c>
      <c r="P44" s="689">
        <v>0</v>
      </c>
      <c r="Q44" s="689">
        <v>0</v>
      </c>
      <c r="R44" s="689">
        <v>0</v>
      </c>
      <c r="S44" s="689">
        <v>0</v>
      </c>
      <c r="T44" s="689">
        <v>0</v>
      </c>
      <c r="U44" s="689">
        <v>0</v>
      </c>
      <c r="V44" s="689">
        <v>0</v>
      </c>
      <c r="W44" s="689">
        <v>0</v>
      </c>
      <c r="X44" s="689">
        <v>0</v>
      </c>
      <c r="Y44" s="689">
        <v>0</v>
      </c>
      <c r="Z44" s="689">
        <v>0</v>
      </c>
      <c r="AA44" s="689">
        <v>0</v>
      </c>
      <c r="AB44" s="690">
        <f>AA44</f>
        <v>0</v>
      </c>
      <c r="AC44" s="689">
        <v>0</v>
      </c>
      <c r="AD44" s="689">
        <v>0</v>
      </c>
      <c r="AE44" s="689">
        <v>0</v>
      </c>
      <c r="AF44" s="689">
        <v>0</v>
      </c>
      <c r="AG44" s="689">
        <v>0</v>
      </c>
      <c r="AH44" s="689">
        <v>0</v>
      </c>
      <c r="AI44" s="689">
        <v>0</v>
      </c>
      <c r="AJ44" s="689">
        <v>0</v>
      </c>
    </row>
    <row r="45" spans="1:36" s="674" customFormat="1" ht="13.15" customHeight="1" x14ac:dyDescent="0.2">
      <c r="A45" s="680" t="s">
        <v>252</v>
      </c>
      <c r="B45" s="681"/>
      <c r="C45" s="689">
        <f>300/12</f>
        <v>25</v>
      </c>
      <c r="D45" s="689">
        <f t="shared" ref="D45:N45" si="64">300/12</f>
        <v>25</v>
      </c>
      <c r="E45" s="689">
        <f t="shared" si="64"/>
        <v>25</v>
      </c>
      <c r="F45" s="689">
        <f t="shared" si="64"/>
        <v>25</v>
      </c>
      <c r="G45" s="689">
        <f t="shared" si="64"/>
        <v>25</v>
      </c>
      <c r="H45" s="689">
        <f t="shared" si="64"/>
        <v>25</v>
      </c>
      <c r="I45" s="689">
        <f t="shared" si="64"/>
        <v>25</v>
      </c>
      <c r="J45" s="689">
        <f t="shared" si="64"/>
        <v>25</v>
      </c>
      <c r="K45" s="689">
        <f t="shared" si="64"/>
        <v>25</v>
      </c>
      <c r="L45" s="689">
        <f t="shared" si="64"/>
        <v>25</v>
      </c>
      <c r="M45" s="689">
        <f t="shared" si="64"/>
        <v>25</v>
      </c>
      <c r="N45" s="689">
        <f t="shared" si="64"/>
        <v>25</v>
      </c>
      <c r="O45" s="683">
        <f>SUM(C45:N45)</f>
        <v>300</v>
      </c>
      <c r="P45" s="689">
        <f>300/12</f>
        <v>25</v>
      </c>
      <c r="Q45" s="689">
        <f t="shared" ref="Q45:AA45" si="65">300/12</f>
        <v>25</v>
      </c>
      <c r="R45" s="689">
        <f t="shared" si="65"/>
        <v>25</v>
      </c>
      <c r="S45" s="689">
        <f t="shared" si="65"/>
        <v>25</v>
      </c>
      <c r="T45" s="689">
        <f t="shared" si="65"/>
        <v>25</v>
      </c>
      <c r="U45" s="689">
        <f t="shared" si="65"/>
        <v>25</v>
      </c>
      <c r="V45" s="689">
        <f t="shared" si="65"/>
        <v>25</v>
      </c>
      <c r="W45" s="689">
        <f t="shared" si="65"/>
        <v>25</v>
      </c>
      <c r="X45" s="689">
        <f t="shared" si="65"/>
        <v>25</v>
      </c>
      <c r="Y45" s="689">
        <f t="shared" si="65"/>
        <v>25</v>
      </c>
      <c r="Z45" s="689">
        <f t="shared" si="65"/>
        <v>25</v>
      </c>
      <c r="AA45" s="689">
        <f t="shared" si="65"/>
        <v>25</v>
      </c>
      <c r="AB45" s="683">
        <f>SUM(P45:AA45)</f>
        <v>300</v>
      </c>
      <c r="AC45" s="689">
        <v>300</v>
      </c>
      <c r="AD45" s="689">
        <v>300</v>
      </c>
      <c r="AE45" s="689">
        <v>300</v>
      </c>
      <c r="AF45" s="689">
        <v>300</v>
      </c>
      <c r="AG45" s="689">
        <v>300</v>
      </c>
      <c r="AH45" s="689">
        <v>300</v>
      </c>
      <c r="AI45" s="689">
        <v>300</v>
      </c>
      <c r="AJ45" s="689">
        <v>300</v>
      </c>
    </row>
    <row r="46" spans="1:36" s="674" customFormat="1" ht="13.15" customHeight="1" x14ac:dyDescent="0.2">
      <c r="A46" s="680" t="s">
        <v>254</v>
      </c>
      <c r="B46" s="681"/>
      <c r="C46" s="690">
        <f t="shared" ref="C46:N46" si="66">C44*C45</f>
        <v>0</v>
      </c>
      <c r="D46" s="690">
        <f t="shared" si="66"/>
        <v>0</v>
      </c>
      <c r="E46" s="690">
        <f t="shared" si="66"/>
        <v>0</v>
      </c>
      <c r="F46" s="690">
        <f t="shared" si="66"/>
        <v>0</v>
      </c>
      <c r="G46" s="690">
        <f t="shared" si="66"/>
        <v>0</v>
      </c>
      <c r="H46" s="690">
        <f t="shared" si="66"/>
        <v>0</v>
      </c>
      <c r="I46" s="690">
        <f t="shared" si="66"/>
        <v>0</v>
      </c>
      <c r="J46" s="690">
        <f t="shared" si="66"/>
        <v>0</v>
      </c>
      <c r="K46" s="690">
        <f t="shared" si="66"/>
        <v>0</v>
      </c>
      <c r="L46" s="690">
        <f t="shared" si="66"/>
        <v>0</v>
      </c>
      <c r="M46" s="690">
        <f t="shared" si="66"/>
        <v>0</v>
      </c>
      <c r="N46" s="690">
        <f t="shared" si="66"/>
        <v>0</v>
      </c>
      <c r="O46" s="683">
        <f>SUM(C46:N46)</f>
        <v>0</v>
      </c>
      <c r="P46" s="690">
        <f t="shared" ref="P46:AA46" si="67">P44*P45</f>
        <v>0</v>
      </c>
      <c r="Q46" s="690">
        <f t="shared" si="67"/>
        <v>0</v>
      </c>
      <c r="R46" s="690">
        <f t="shared" si="67"/>
        <v>0</v>
      </c>
      <c r="S46" s="690">
        <f t="shared" si="67"/>
        <v>0</v>
      </c>
      <c r="T46" s="690">
        <f t="shared" si="67"/>
        <v>0</v>
      </c>
      <c r="U46" s="690">
        <f t="shared" si="67"/>
        <v>0</v>
      </c>
      <c r="V46" s="690">
        <f t="shared" si="67"/>
        <v>0</v>
      </c>
      <c r="W46" s="690">
        <f t="shared" si="67"/>
        <v>0</v>
      </c>
      <c r="X46" s="690">
        <f t="shared" si="67"/>
        <v>0</v>
      </c>
      <c r="Y46" s="690">
        <f t="shared" si="67"/>
        <v>0</v>
      </c>
      <c r="Z46" s="690">
        <f t="shared" si="67"/>
        <v>0</v>
      </c>
      <c r="AA46" s="690">
        <f t="shared" si="67"/>
        <v>0</v>
      </c>
      <c r="AB46" s="683">
        <f>SUM(P46:AA46)</f>
        <v>0</v>
      </c>
      <c r="AC46" s="690">
        <f t="shared" ref="AC46:AJ46" si="68">AC44*AC45</f>
        <v>0</v>
      </c>
      <c r="AD46" s="690">
        <f t="shared" si="68"/>
        <v>0</v>
      </c>
      <c r="AE46" s="690">
        <f t="shared" si="68"/>
        <v>0</v>
      </c>
      <c r="AF46" s="690">
        <f t="shared" si="68"/>
        <v>0</v>
      </c>
      <c r="AG46" s="690">
        <f t="shared" si="68"/>
        <v>0</v>
      </c>
      <c r="AH46" s="690">
        <f t="shared" si="68"/>
        <v>0</v>
      </c>
      <c r="AI46" s="690">
        <f t="shared" si="68"/>
        <v>0</v>
      </c>
      <c r="AJ46" s="690">
        <f t="shared" si="68"/>
        <v>0</v>
      </c>
    </row>
    <row r="47" spans="1:36" s="674" customFormat="1" ht="13.15" customHeight="1" x14ac:dyDescent="0.2">
      <c r="A47" s="680" t="s">
        <v>249</v>
      </c>
      <c r="B47" s="681"/>
      <c r="C47" s="685">
        <f>C35</f>
        <v>2.5</v>
      </c>
      <c r="D47" s="685">
        <f t="shared" ref="D47:AJ47" si="69">D35</f>
        <v>2.5</v>
      </c>
      <c r="E47" s="685">
        <f t="shared" si="69"/>
        <v>2.5</v>
      </c>
      <c r="F47" s="685">
        <f t="shared" si="69"/>
        <v>2.5</v>
      </c>
      <c r="G47" s="685">
        <f t="shared" si="69"/>
        <v>2.5</v>
      </c>
      <c r="H47" s="685">
        <f t="shared" si="69"/>
        <v>2.5</v>
      </c>
      <c r="I47" s="685">
        <f t="shared" si="69"/>
        <v>2.5</v>
      </c>
      <c r="J47" s="685">
        <f t="shared" si="69"/>
        <v>2.5</v>
      </c>
      <c r="K47" s="685">
        <f t="shared" si="69"/>
        <v>2.5</v>
      </c>
      <c r="L47" s="685">
        <f t="shared" si="69"/>
        <v>2.5</v>
      </c>
      <c r="M47" s="685">
        <f t="shared" si="69"/>
        <v>2.5</v>
      </c>
      <c r="N47" s="685">
        <f t="shared" si="69"/>
        <v>2.5</v>
      </c>
      <c r="O47" s="685">
        <f t="shared" si="69"/>
        <v>2.5</v>
      </c>
      <c r="P47" s="685">
        <f t="shared" si="69"/>
        <v>2.5</v>
      </c>
      <c r="Q47" s="685">
        <f t="shared" si="69"/>
        <v>2.5</v>
      </c>
      <c r="R47" s="685">
        <f t="shared" si="69"/>
        <v>2.5</v>
      </c>
      <c r="S47" s="685">
        <f t="shared" si="69"/>
        <v>2.5</v>
      </c>
      <c r="T47" s="685">
        <f t="shared" si="69"/>
        <v>2.5</v>
      </c>
      <c r="U47" s="685">
        <f t="shared" si="69"/>
        <v>2.5</v>
      </c>
      <c r="V47" s="685">
        <f t="shared" si="69"/>
        <v>2.5</v>
      </c>
      <c r="W47" s="685">
        <f t="shared" si="69"/>
        <v>2.5</v>
      </c>
      <c r="X47" s="685">
        <f t="shared" si="69"/>
        <v>2.5</v>
      </c>
      <c r="Y47" s="685">
        <f t="shared" si="69"/>
        <v>2.5</v>
      </c>
      <c r="Z47" s="685">
        <f t="shared" si="69"/>
        <v>2.5</v>
      </c>
      <c r="AA47" s="685">
        <f t="shared" si="69"/>
        <v>2.5</v>
      </c>
      <c r="AB47" s="685">
        <f t="shared" si="69"/>
        <v>2.5</v>
      </c>
      <c r="AC47" s="685">
        <f t="shared" si="69"/>
        <v>2.5</v>
      </c>
      <c r="AD47" s="685">
        <f t="shared" si="69"/>
        <v>2.5</v>
      </c>
      <c r="AE47" s="685">
        <f t="shared" si="69"/>
        <v>2.5</v>
      </c>
      <c r="AF47" s="685">
        <f t="shared" si="69"/>
        <v>2.5</v>
      </c>
      <c r="AG47" s="685">
        <f t="shared" si="69"/>
        <v>2.5</v>
      </c>
      <c r="AH47" s="685">
        <f t="shared" si="69"/>
        <v>2.5</v>
      </c>
      <c r="AI47" s="685">
        <f t="shared" si="69"/>
        <v>2.5</v>
      </c>
      <c r="AJ47" s="685">
        <f t="shared" si="69"/>
        <v>2.5</v>
      </c>
    </row>
    <row r="48" spans="1:36" s="674" customFormat="1" ht="13.15" customHeight="1" x14ac:dyDescent="0.2">
      <c r="A48" s="680" t="s">
        <v>255</v>
      </c>
      <c r="B48" s="681"/>
      <c r="C48" s="690">
        <f t="shared" ref="C48:N48" si="70">C46*C47</f>
        <v>0</v>
      </c>
      <c r="D48" s="690">
        <f t="shared" si="70"/>
        <v>0</v>
      </c>
      <c r="E48" s="690">
        <f t="shared" si="70"/>
        <v>0</v>
      </c>
      <c r="F48" s="690">
        <f t="shared" si="70"/>
        <v>0</v>
      </c>
      <c r="G48" s="690">
        <f t="shared" si="70"/>
        <v>0</v>
      </c>
      <c r="H48" s="690">
        <f t="shared" si="70"/>
        <v>0</v>
      </c>
      <c r="I48" s="690">
        <f t="shared" si="70"/>
        <v>0</v>
      </c>
      <c r="J48" s="690">
        <f t="shared" si="70"/>
        <v>0</v>
      </c>
      <c r="K48" s="690">
        <f t="shared" si="70"/>
        <v>0</v>
      </c>
      <c r="L48" s="690">
        <f t="shared" si="70"/>
        <v>0</v>
      </c>
      <c r="M48" s="690">
        <f t="shared" si="70"/>
        <v>0</v>
      </c>
      <c r="N48" s="690">
        <f t="shared" si="70"/>
        <v>0</v>
      </c>
      <c r="O48" s="691">
        <f>SUM(C48:N48)</f>
        <v>0</v>
      </c>
      <c r="P48" s="690">
        <f t="shared" ref="P48:AA48" si="71">P46*P47</f>
        <v>0</v>
      </c>
      <c r="Q48" s="690">
        <f t="shared" si="71"/>
        <v>0</v>
      </c>
      <c r="R48" s="690">
        <f t="shared" si="71"/>
        <v>0</v>
      </c>
      <c r="S48" s="690">
        <f t="shared" si="71"/>
        <v>0</v>
      </c>
      <c r="T48" s="690">
        <f t="shared" si="71"/>
        <v>0</v>
      </c>
      <c r="U48" s="690">
        <f t="shared" si="71"/>
        <v>0</v>
      </c>
      <c r="V48" s="690">
        <f t="shared" si="71"/>
        <v>0</v>
      </c>
      <c r="W48" s="690">
        <f t="shared" si="71"/>
        <v>0</v>
      </c>
      <c r="X48" s="690">
        <f t="shared" si="71"/>
        <v>0</v>
      </c>
      <c r="Y48" s="690">
        <f t="shared" si="71"/>
        <v>0</v>
      </c>
      <c r="Z48" s="690">
        <f t="shared" si="71"/>
        <v>0</v>
      </c>
      <c r="AA48" s="690">
        <f t="shared" si="71"/>
        <v>0</v>
      </c>
      <c r="AB48" s="691">
        <f>SUM(P48:AA48)</f>
        <v>0</v>
      </c>
      <c r="AC48" s="690">
        <f t="shared" ref="AC48:AJ48" si="72">AC46*AC47</f>
        <v>0</v>
      </c>
      <c r="AD48" s="690">
        <f t="shared" si="72"/>
        <v>0</v>
      </c>
      <c r="AE48" s="690">
        <f t="shared" si="72"/>
        <v>0</v>
      </c>
      <c r="AF48" s="690">
        <f t="shared" si="72"/>
        <v>0</v>
      </c>
      <c r="AG48" s="690">
        <f t="shared" si="72"/>
        <v>0</v>
      </c>
      <c r="AH48" s="690">
        <f t="shared" si="72"/>
        <v>0</v>
      </c>
      <c r="AI48" s="690">
        <f t="shared" si="72"/>
        <v>0</v>
      </c>
      <c r="AJ48" s="690">
        <f t="shared" si="72"/>
        <v>0</v>
      </c>
    </row>
    <row r="49" spans="1:37" s="674" customFormat="1" ht="13.15" customHeight="1" x14ac:dyDescent="0.2">
      <c r="A49" s="680"/>
      <c r="B49" s="681"/>
      <c r="C49" s="682"/>
      <c r="D49" s="682"/>
      <c r="E49" s="682"/>
      <c r="F49" s="682"/>
      <c r="G49" s="682"/>
      <c r="H49" s="682"/>
      <c r="I49" s="682"/>
      <c r="J49" s="682"/>
      <c r="K49" s="682"/>
      <c r="L49" s="682"/>
      <c r="M49" s="682"/>
      <c r="N49" s="682"/>
      <c r="O49" s="683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3"/>
      <c r="AC49" s="683"/>
      <c r="AD49" s="683"/>
      <c r="AE49" s="683"/>
    </row>
    <row r="50" spans="1:37" s="684" customFormat="1" ht="13.15" customHeight="1" x14ac:dyDescent="0.2">
      <c r="A50" s="676" t="s">
        <v>257</v>
      </c>
      <c r="B50" s="677"/>
      <c r="C50" s="694">
        <f>C36+C42+C48</f>
        <v>0</v>
      </c>
      <c r="D50" s="694">
        <f t="shared" ref="D50:N50" si="73">D36+D42+D48</f>
        <v>0</v>
      </c>
      <c r="E50" s="694">
        <f t="shared" si="73"/>
        <v>0</v>
      </c>
      <c r="F50" s="694">
        <f t="shared" si="73"/>
        <v>0</v>
      </c>
      <c r="G50" s="694">
        <f t="shared" si="73"/>
        <v>0</v>
      </c>
      <c r="H50" s="694">
        <f t="shared" si="73"/>
        <v>0</v>
      </c>
      <c r="I50" s="694">
        <f t="shared" si="73"/>
        <v>0</v>
      </c>
      <c r="J50" s="694">
        <f t="shared" si="73"/>
        <v>0</v>
      </c>
      <c r="K50" s="694">
        <f t="shared" si="73"/>
        <v>0</v>
      </c>
      <c r="L50" s="694">
        <f t="shared" si="73"/>
        <v>0</v>
      </c>
      <c r="M50" s="694">
        <f t="shared" si="73"/>
        <v>0</v>
      </c>
      <c r="N50" s="694">
        <f t="shared" si="73"/>
        <v>0</v>
      </c>
      <c r="O50" s="679">
        <f>SUM(C50:N50)</f>
        <v>0</v>
      </c>
      <c r="P50" s="694">
        <f t="shared" ref="P50:AA50" si="74">P36+P42+P48</f>
        <v>493.22916666666674</v>
      </c>
      <c r="Q50" s="694">
        <f t="shared" si="74"/>
        <v>569.79166666666674</v>
      </c>
      <c r="R50" s="694">
        <f t="shared" si="74"/>
        <v>646.35416666666674</v>
      </c>
      <c r="S50" s="694">
        <f t="shared" si="74"/>
        <v>722.91666666666674</v>
      </c>
      <c r="T50" s="694">
        <f t="shared" si="74"/>
        <v>799.47916666666674</v>
      </c>
      <c r="U50" s="694">
        <f t="shared" si="74"/>
        <v>876.04166666666674</v>
      </c>
      <c r="V50" s="694">
        <f t="shared" si="74"/>
        <v>952.60416666666674</v>
      </c>
      <c r="W50" s="694">
        <f t="shared" si="74"/>
        <v>1029.1666666666667</v>
      </c>
      <c r="X50" s="694">
        <f t="shared" si="74"/>
        <v>1105.729166666667</v>
      </c>
      <c r="Y50" s="694">
        <f t="shared" si="74"/>
        <v>1182.291666666667</v>
      </c>
      <c r="Z50" s="694">
        <f t="shared" si="74"/>
        <v>1258.854166666667</v>
      </c>
      <c r="AA50" s="694">
        <f t="shared" si="74"/>
        <v>1335.416666666667</v>
      </c>
      <c r="AB50" s="694">
        <f>SUM(P50:AA50)</f>
        <v>10971.875000000004</v>
      </c>
      <c r="AC50" s="694">
        <f t="shared" ref="AC50:AJ50" si="75">AC36+AC42+AC48</f>
        <v>22364.375000000004</v>
      </c>
      <c r="AD50" s="694">
        <f t="shared" si="75"/>
        <v>41117.900000000016</v>
      </c>
      <c r="AE50" s="694">
        <f t="shared" si="75"/>
        <v>79402.874000000025</v>
      </c>
      <c r="AF50" s="694">
        <f t="shared" si="75"/>
        <v>118836.39722000001</v>
      </c>
      <c r="AG50" s="694">
        <f t="shared" si="75"/>
        <v>143395.54587950002</v>
      </c>
      <c r="AH50" s="694">
        <f t="shared" si="75"/>
        <v>164687.16832249996</v>
      </c>
      <c r="AI50" s="694">
        <f t="shared" si="75"/>
        <v>185978.79076549999</v>
      </c>
      <c r="AJ50" s="694">
        <f t="shared" si="75"/>
        <v>207270.41320849996</v>
      </c>
    </row>
    <row r="51" spans="1:37" s="674" customFormat="1" ht="13.15" customHeight="1" x14ac:dyDescent="0.2">
      <c r="A51" s="680"/>
      <c r="B51" s="681"/>
      <c r="C51" s="682"/>
      <c r="D51" s="682"/>
      <c r="E51" s="682"/>
      <c r="F51" s="682"/>
      <c r="G51" s="682"/>
      <c r="H51" s="682"/>
      <c r="I51" s="682"/>
      <c r="J51" s="682"/>
      <c r="K51" s="682"/>
      <c r="L51" s="682"/>
      <c r="M51" s="682"/>
      <c r="N51" s="682"/>
      <c r="O51" s="683"/>
      <c r="P51" s="682"/>
      <c r="Q51" s="682"/>
      <c r="R51" s="682"/>
      <c r="S51" s="682"/>
      <c r="T51" s="682"/>
      <c r="U51" s="682"/>
      <c r="V51" s="682"/>
      <c r="W51" s="682"/>
      <c r="X51" s="682"/>
      <c r="Y51" s="682"/>
      <c r="Z51" s="682"/>
      <c r="AA51" s="682"/>
      <c r="AB51" s="683"/>
      <c r="AC51" s="683"/>
      <c r="AD51" s="683"/>
      <c r="AE51" s="683"/>
    </row>
    <row r="52" spans="1:37" s="674" customFormat="1" ht="13.15" customHeight="1" x14ac:dyDescent="0.2">
      <c r="A52" s="680" t="s">
        <v>258</v>
      </c>
      <c r="B52" s="681"/>
      <c r="C52" s="767">
        <f>C25</f>
        <v>300</v>
      </c>
      <c r="D52" s="767">
        <f t="shared" ref="D52:AJ52" si="76">D25</f>
        <v>300</v>
      </c>
      <c r="E52" s="767">
        <f t="shared" si="76"/>
        <v>300</v>
      </c>
      <c r="F52" s="767">
        <f t="shared" si="76"/>
        <v>300</v>
      </c>
      <c r="G52" s="767">
        <f t="shared" si="76"/>
        <v>300</v>
      </c>
      <c r="H52" s="767">
        <f t="shared" si="76"/>
        <v>300</v>
      </c>
      <c r="I52" s="767">
        <f t="shared" si="76"/>
        <v>300</v>
      </c>
      <c r="J52" s="767">
        <f t="shared" si="76"/>
        <v>300</v>
      </c>
      <c r="K52" s="767">
        <f t="shared" si="76"/>
        <v>300</v>
      </c>
      <c r="L52" s="767">
        <f t="shared" si="76"/>
        <v>300</v>
      </c>
      <c r="M52" s="767">
        <f t="shared" si="76"/>
        <v>300</v>
      </c>
      <c r="N52" s="767">
        <f t="shared" si="76"/>
        <v>300</v>
      </c>
      <c r="O52" s="767">
        <f t="shared" si="76"/>
        <v>300</v>
      </c>
      <c r="P52" s="767">
        <f t="shared" si="76"/>
        <v>300</v>
      </c>
      <c r="Q52" s="767">
        <f t="shared" si="76"/>
        <v>300</v>
      </c>
      <c r="R52" s="767">
        <f t="shared" si="76"/>
        <v>300</v>
      </c>
      <c r="S52" s="767">
        <f t="shared" si="76"/>
        <v>300</v>
      </c>
      <c r="T52" s="767">
        <f t="shared" si="76"/>
        <v>300</v>
      </c>
      <c r="U52" s="767">
        <f t="shared" si="76"/>
        <v>300</v>
      </c>
      <c r="V52" s="767">
        <f t="shared" si="76"/>
        <v>300</v>
      </c>
      <c r="W52" s="767">
        <f t="shared" si="76"/>
        <v>300</v>
      </c>
      <c r="X52" s="767">
        <f t="shared" si="76"/>
        <v>300</v>
      </c>
      <c r="Y52" s="767">
        <f t="shared" si="76"/>
        <v>300</v>
      </c>
      <c r="Z52" s="767">
        <f t="shared" si="76"/>
        <v>300</v>
      </c>
      <c r="AA52" s="767">
        <f t="shared" si="76"/>
        <v>300</v>
      </c>
      <c r="AB52" s="767">
        <f t="shared" si="76"/>
        <v>300</v>
      </c>
      <c r="AC52" s="767">
        <f t="shared" si="76"/>
        <v>300</v>
      </c>
      <c r="AD52" s="767">
        <f t="shared" si="76"/>
        <v>300</v>
      </c>
      <c r="AE52" s="767">
        <f t="shared" si="76"/>
        <v>300</v>
      </c>
      <c r="AF52" s="767">
        <f t="shared" si="76"/>
        <v>300</v>
      </c>
      <c r="AG52" s="767">
        <f t="shared" si="76"/>
        <v>300</v>
      </c>
      <c r="AH52" s="767">
        <f t="shared" si="76"/>
        <v>300</v>
      </c>
      <c r="AI52" s="767">
        <f t="shared" si="76"/>
        <v>300</v>
      </c>
      <c r="AJ52" s="767">
        <f t="shared" si="76"/>
        <v>300</v>
      </c>
      <c r="AK52" s="693"/>
    </row>
    <row r="53" spans="1:37" s="674" customFormat="1" ht="13.15" customHeight="1" x14ac:dyDescent="0.2">
      <c r="A53" s="680"/>
      <c r="B53" s="681"/>
      <c r="C53" s="682"/>
      <c r="D53" s="682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3"/>
      <c r="P53" s="682"/>
      <c r="Q53" s="682"/>
      <c r="R53" s="682"/>
      <c r="S53" s="682"/>
      <c r="T53" s="682"/>
      <c r="U53" s="682"/>
      <c r="V53" s="682"/>
      <c r="W53" s="682"/>
      <c r="X53" s="682"/>
      <c r="Y53" s="682"/>
      <c r="Z53" s="682"/>
      <c r="AA53" s="682"/>
      <c r="AB53" s="683"/>
      <c r="AC53" s="683"/>
      <c r="AD53" s="683"/>
      <c r="AE53" s="683"/>
    </row>
    <row r="54" spans="1:37" s="766" customFormat="1" ht="13.15" customHeight="1" x14ac:dyDescent="0.2">
      <c r="A54" s="763" t="s">
        <v>322</v>
      </c>
      <c r="B54" s="764"/>
      <c r="C54" s="765">
        <f>C50*C52</f>
        <v>0</v>
      </c>
      <c r="D54" s="765">
        <f t="shared" ref="D54:N54" si="77">D50*D52</f>
        <v>0</v>
      </c>
      <c r="E54" s="765">
        <f t="shared" si="77"/>
        <v>0</v>
      </c>
      <c r="F54" s="765">
        <f t="shared" si="77"/>
        <v>0</v>
      </c>
      <c r="G54" s="765">
        <f t="shared" si="77"/>
        <v>0</v>
      </c>
      <c r="H54" s="765">
        <f t="shared" si="77"/>
        <v>0</v>
      </c>
      <c r="I54" s="765">
        <f t="shared" si="77"/>
        <v>0</v>
      </c>
      <c r="J54" s="765">
        <f t="shared" si="77"/>
        <v>0</v>
      </c>
      <c r="K54" s="765">
        <f t="shared" si="77"/>
        <v>0</v>
      </c>
      <c r="L54" s="765">
        <f t="shared" si="77"/>
        <v>0</v>
      </c>
      <c r="M54" s="765">
        <f t="shared" si="77"/>
        <v>0</v>
      </c>
      <c r="N54" s="765">
        <f t="shared" si="77"/>
        <v>0</v>
      </c>
      <c r="O54" s="765">
        <f>SUM(C54:N54)</f>
        <v>0</v>
      </c>
      <c r="P54" s="765">
        <f>P50*P52</f>
        <v>147968.75000000003</v>
      </c>
      <c r="Q54" s="765">
        <f t="shared" ref="Q54:AA54" si="78">Q50*Q52</f>
        <v>170937.50000000003</v>
      </c>
      <c r="R54" s="765">
        <f t="shared" si="78"/>
        <v>193906.25000000003</v>
      </c>
      <c r="S54" s="765">
        <f t="shared" si="78"/>
        <v>216875.00000000003</v>
      </c>
      <c r="T54" s="765">
        <f t="shared" si="78"/>
        <v>239843.75000000003</v>
      </c>
      <c r="U54" s="765">
        <f t="shared" si="78"/>
        <v>262812.5</v>
      </c>
      <c r="V54" s="765">
        <f t="shared" si="78"/>
        <v>285781.25</v>
      </c>
      <c r="W54" s="765">
        <f t="shared" si="78"/>
        <v>308750</v>
      </c>
      <c r="X54" s="765">
        <f t="shared" si="78"/>
        <v>331718.75000000012</v>
      </c>
      <c r="Y54" s="765">
        <f t="shared" si="78"/>
        <v>354687.50000000012</v>
      </c>
      <c r="Z54" s="765">
        <f t="shared" si="78"/>
        <v>377656.25000000012</v>
      </c>
      <c r="AA54" s="765">
        <f t="shared" si="78"/>
        <v>400625.00000000012</v>
      </c>
      <c r="AB54" s="765">
        <f>SUM(P54:AA54)</f>
        <v>3291562.5</v>
      </c>
      <c r="AC54" s="765">
        <f t="shared" ref="AC54:AJ54" si="79">AC50*AC52</f>
        <v>6709312.5000000009</v>
      </c>
      <c r="AD54" s="765">
        <f t="shared" si="79"/>
        <v>12335370.000000006</v>
      </c>
      <c r="AE54" s="765">
        <f t="shared" si="79"/>
        <v>23820862.200000007</v>
      </c>
      <c r="AF54" s="765">
        <f t="shared" si="79"/>
        <v>35650919.166000001</v>
      </c>
      <c r="AG54" s="765">
        <f t="shared" si="79"/>
        <v>43018663.763850003</v>
      </c>
      <c r="AH54" s="765">
        <f t="shared" si="79"/>
        <v>49406150.49674999</v>
      </c>
      <c r="AI54" s="765">
        <f t="shared" si="79"/>
        <v>55793637.229649998</v>
      </c>
      <c r="AJ54" s="765">
        <f t="shared" si="79"/>
        <v>62181123.962549984</v>
      </c>
    </row>
    <row r="55" spans="1:37" s="674" customFormat="1" ht="13.15" customHeight="1" x14ac:dyDescent="0.2">
      <c r="A55" s="680"/>
      <c r="B55" s="681"/>
      <c r="C55" s="682"/>
      <c r="D55" s="682"/>
      <c r="E55" s="682"/>
      <c r="F55" s="682"/>
      <c r="G55" s="682"/>
      <c r="H55" s="682"/>
      <c r="I55" s="682"/>
      <c r="J55" s="682"/>
      <c r="K55" s="682"/>
      <c r="L55" s="682"/>
      <c r="M55" s="682"/>
      <c r="N55" s="682"/>
      <c r="O55" s="683"/>
      <c r="P55" s="682"/>
      <c r="Q55" s="682"/>
      <c r="R55" s="682"/>
      <c r="S55" s="682"/>
      <c r="T55" s="682"/>
      <c r="U55" s="682"/>
      <c r="V55" s="682"/>
      <c r="W55" s="682"/>
      <c r="X55" s="682"/>
      <c r="Y55" s="682"/>
      <c r="Z55" s="682"/>
      <c r="AA55" s="682"/>
      <c r="AB55" s="683"/>
      <c r="AC55" s="683"/>
      <c r="AD55" s="683"/>
      <c r="AE55" s="683"/>
    </row>
    <row r="56" spans="1:37" s="674" customFormat="1" ht="13.15" customHeight="1" x14ac:dyDescent="0.2">
      <c r="A56" s="680"/>
      <c r="B56" s="681"/>
      <c r="C56" s="682"/>
      <c r="D56" s="682"/>
      <c r="E56" s="682"/>
      <c r="F56" s="682"/>
      <c r="G56" s="682"/>
      <c r="H56" s="682"/>
      <c r="I56" s="682"/>
      <c r="J56" s="682"/>
      <c r="K56" s="682"/>
      <c r="L56" s="682"/>
      <c r="M56" s="682"/>
      <c r="N56" s="682"/>
      <c r="O56" s="683"/>
      <c r="P56" s="682"/>
      <c r="Q56" s="682"/>
      <c r="R56" s="682"/>
      <c r="S56" s="682"/>
      <c r="T56" s="682"/>
      <c r="U56" s="682"/>
      <c r="V56" s="682"/>
      <c r="W56" s="682"/>
      <c r="X56" s="682"/>
      <c r="Y56" s="682"/>
      <c r="Z56" s="682"/>
      <c r="AA56" s="682"/>
      <c r="AB56" s="683"/>
      <c r="AC56" s="683"/>
      <c r="AD56" s="683"/>
      <c r="AE56" s="683"/>
    </row>
    <row r="57" spans="1:37" s="674" customFormat="1" ht="13.15" customHeight="1" x14ac:dyDescent="0.2">
      <c r="A57" s="676" t="s">
        <v>442</v>
      </c>
      <c r="B57" s="677"/>
      <c r="C57" s="678"/>
      <c r="D57" s="678"/>
      <c r="E57" s="678"/>
      <c r="F57" s="678"/>
      <c r="G57" s="678"/>
      <c r="H57" s="678"/>
      <c r="I57" s="678"/>
      <c r="J57" s="678"/>
      <c r="K57" s="678"/>
      <c r="L57" s="678"/>
      <c r="M57" s="678"/>
      <c r="N57" s="678"/>
      <c r="O57" s="679"/>
      <c r="P57" s="678"/>
      <c r="Q57" s="678"/>
      <c r="R57" s="678"/>
      <c r="S57" s="678"/>
      <c r="T57" s="678"/>
      <c r="U57" s="678"/>
      <c r="V57" s="678"/>
      <c r="W57" s="678"/>
      <c r="X57" s="678"/>
      <c r="Y57" s="678"/>
      <c r="Z57" s="678"/>
      <c r="AA57" s="678"/>
      <c r="AB57" s="679"/>
      <c r="AC57" s="679"/>
      <c r="AD57" s="679"/>
      <c r="AE57" s="679"/>
    </row>
    <row r="58" spans="1:37" s="674" customFormat="1" ht="13.15" customHeight="1" x14ac:dyDescent="0.2">
      <c r="A58" s="674" t="s">
        <v>250</v>
      </c>
      <c r="B58" s="681"/>
      <c r="C58" s="690">
        <f>$O58/12</f>
        <v>12500</v>
      </c>
      <c r="D58" s="690">
        <f t="shared" ref="D58:N58" si="80">$O58/12</f>
        <v>12500</v>
      </c>
      <c r="E58" s="690">
        <f t="shared" si="80"/>
        <v>12500</v>
      </c>
      <c r="F58" s="690">
        <f t="shared" si="80"/>
        <v>12500</v>
      </c>
      <c r="G58" s="690">
        <f t="shared" si="80"/>
        <v>12500</v>
      </c>
      <c r="H58" s="690">
        <f t="shared" si="80"/>
        <v>12500</v>
      </c>
      <c r="I58" s="690">
        <f t="shared" si="80"/>
        <v>12500</v>
      </c>
      <c r="J58" s="690">
        <f t="shared" si="80"/>
        <v>12500</v>
      </c>
      <c r="K58" s="690">
        <f t="shared" si="80"/>
        <v>12500</v>
      </c>
      <c r="L58" s="690">
        <f t="shared" si="80"/>
        <v>12500</v>
      </c>
      <c r="M58" s="690">
        <f t="shared" si="80"/>
        <v>12500</v>
      </c>
      <c r="N58" s="690">
        <f t="shared" si="80"/>
        <v>12500</v>
      </c>
      <c r="O58" s="689">
        <v>150000</v>
      </c>
      <c r="P58" s="690">
        <f>$AB58/12</f>
        <v>13125</v>
      </c>
      <c r="Q58" s="690">
        <f t="shared" ref="Q58:AA58" si="81">$AB58/12</f>
        <v>13125</v>
      </c>
      <c r="R58" s="690">
        <f t="shared" si="81"/>
        <v>13125</v>
      </c>
      <c r="S58" s="690">
        <f t="shared" si="81"/>
        <v>13125</v>
      </c>
      <c r="T58" s="690">
        <f t="shared" si="81"/>
        <v>13125</v>
      </c>
      <c r="U58" s="690">
        <f t="shared" si="81"/>
        <v>13125</v>
      </c>
      <c r="V58" s="690">
        <f t="shared" si="81"/>
        <v>13125</v>
      </c>
      <c r="W58" s="690">
        <f t="shared" si="81"/>
        <v>13125</v>
      </c>
      <c r="X58" s="690">
        <f t="shared" si="81"/>
        <v>13125</v>
      </c>
      <c r="Y58" s="690">
        <f t="shared" si="81"/>
        <v>13125</v>
      </c>
      <c r="Z58" s="690">
        <f t="shared" si="81"/>
        <v>13125</v>
      </c>
      <c r="AA58" s="690">
        <f t="shared" si="81"/>
        <v>13125</v>
      </c>
      <c r="AB58" s="690">
        <f>O58*(1+AB59)</f>
        <v>157500</v>
      </c>
      <c r="AC58" s="690">
        <f>AB58*(1+AC59)</f>
        <v>165375</v>
      </c>
      <c r="AD58" s="690">
        <f t="shared" ref="AD58:AJ58" si="82">AC58*(1+AD59)</f>
        <v>171990</v>
      </c>
      <c r="AE58" s="690">
        <f t="shared" si="82"/>
        <v>177149.7</v>
      </c>
      <c r="AF58" s="690">
        <f t="shared" si="82"/>
        <v>180692.69400000002</v>
      </c>
      <c r="AG58" s="690">
        <f t="shared" si="82"/>
        <v>182499.62094000002</v>
      </c>
      <c r="AH58" s="690">
        <f t="shared" si="82"/>
        <v>182499.62094000002</v>
      </c>
      <c r="AI58" s="690">
        <f t="shared" si="82"/>
        <v>182499.62094000002</v>
      </c>
      <c r="AJ58" s="690">
        <f t="shared" si="82"/>
        <v>182499.62094000002</v>
      </c>
    </row>
    <row r="59" spans="1:37" s="688" customFormat="1" ht="13.15" customHeight="1" x14ac:dyDescent="0.2">
      <c r="A59" s="680" t="s">
        <v>324</v>
      </c>
      <c r="B59" s="681"/>
      <c r="C59" s="687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92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>
        <v>0.05</v>
      </c>
      <c r="AC59" s="687">
        <v>0.05</v>
      </c>
      <c r="AD59" s="687">
        <f>AC59-1%</f>
        <v>0.04</v>
      </c>
      <c r="AE59" s="687">
        <f>AD59-1%</f>
        <v>0.03</v>
      </c>
      <c r="AF59" s="687">
        <f>AE59-1%</f>
        <v>1.9999999999999997E-2</v>
      </c>
      <c r="AG59" s="687">
        <f>AF59-1%</f>
        <v>9.9999999999999967E-3</v>
      </c>
      <c r="AH59" s="687">
        <f>AG59-1%</f>
        <v>0</v>
      </c>
      <c r="AI59" s="688">
        <f>AH59</f>
        <v>0</v>
      </c>
      <c r="AJ59" s="688">
        <f>AI59</f>
        <v>0</v>
      </c>
    </row>
    <row r="60" spans="1:37" s="688" customFormat="1" ht="13.15" customHeight="1" x14ac:dyDescent="0.2">
      <c r="A60" s="680" t="s">
        <v>248</v>
      </c>
      <c r="B60" s="681"/>
      <c r="C60" s="687">
        <f t="shared" ref="C60:N60" si="83">C33</f>
        <v>0</v>
      </c>
      <c r="D60" s="687">
        <f t="shared" si="83"/>
        <v>0</v>
      </c>
      <c r="E60" s="687">
        <f t="shared" si="83"/>
        <v>0</v>
      </c>
      <c r="F60" s="687">
        <f t="shared" si="83"/>
        <v>0</v>
      </c>
      <c r="G60" s="687">
        <f t="shared" si="83"/>
        <v>0</v>
      </c>
      <c r="H60" s="687">
        <f t="shared" si="83"/>
        <v>0</v>
      </c>
      <c r="I60" s="687">
        <f t="shared" si="83"/>
        <v>0</v>
      </c>
      <c r="J60" s="687">
        <f t="shared" si="83"/>
        <v>0</v>
      </c>
      <c r="K60" s="687">
        <f t="shared" si="83"/>
        <v>0</v>
      </c>
      <c r="L60" s="687">
        <f t="shared" si="83"/>
        <v>0</v>
      </c>
      <c r="M60" s="687">
        <f t="shared" si="83"/>
        <v>0</v>
      </c>
      <c r="N60" s="687">
        <f t="shared" si="83"/>
        <v>0</v>
      </c>
      <c r="O60" s="692">
        <f>N60</f>
        <v>0</v>
      </c>
      <c r="P60" s="687">
        <v>5.0000000000000001E-3</v>
      </c>
      <c r="Q60" s="687">
        <v>0.01</v>
      </c>
      <c r="R60" s="687">
        <v>1.4999999999999999E-2</v>
      </c>
      <c r="S60" s="687">
        <v>0.02</v>
      </c>
      <c r="T60" s="687">
        <v>2.5000000000000001E-2</v>
      </c>
      <c r="U60" s="687">
        <v>0.03</v>
      </c>
      <c r="V60" s="687">
        <v>3.5000000000000003E-2</v>
      </c>
      <c r="W60" s="687">
        <v>0.04</v>
      </c>
      <c r="X60" s="687">
        <v>4.4999999999999998E-2</v>
      </c>
      <c r="Y60" s="687">
        <v>0.05</v>
      </c>
      <c r="Z60" s="687">
        <v>5.5E-2</v>
      </c>
      <c r="AA60" s="687">
        <v>0.06</v>
      </c>
      <c r="AB60" s="692">
        <f>AA60</f>
        <v>0.06</v>
      </c>
      <c r="AC60" s="687">
        <v>0.12</v>
      </c>
      <c r="AD60" s="687">
        <v>0.18</v>
      </c>
      <c r="AE60" s="687">
        <v>0.24</v>
      </c>
      <c r="AF60" s="687">
        <v>0.3</v>
      </c>
      <c r="AG60" s="687">
        <v>0.35</v>
      </c>
      <c r="AH60" s="687">
        <v>0.4</v>
      </c>
      <c r="AI60" s="687">
        <v>0.45</v>
      </c>
      <c r="AJ60" s="687">
        <v>0.5</v>
      </c>
    </row>
    <row r="61" spans="1:37" s="674" customFormat="1" ht="13.15" customHeight="1" x14ac:dyDescent="0.2">
      <c r="A61" s="680" t="s">
        <v>251</v>
      </c>
      <c r="B61" s="681"/>
      <c r="C61" s="690">
        <f t="shared" ref="C61:N61" si="84">C58*C60</f>
        <v>0</v>
      </c>
      <c r="D61" s="690">
        <f t="shared" si="84"/>
        <v>0</v>
      </c>
      <c r="E61" s="690">
        <f t="shared" si="84"/>
        <v>0</v>
      </c>
      <c r="F61" s="690">
        <f t="shared" si="84"/>
        <v>0</v>
      </c>
      <c r="G61" s="690">
        <f t="shared" si="84"/>
        <v>0</v>
      </c>
      <c r="H61" s="690">
        <f t="shared" si="84"/>
        <v>0</v>
      </c>
      <c r="I61" s="690">
        <f t="shared" si="84"/>
        <v>0</v>
      </c>
      <c r="J61" s="690">
        <f t="shared" si="84"/>
        <v>0</v>
      </c>
      <c r="K61" s="690">
        <f t="shared" si="84"/>
        <v>0</v>
      </c>
      <c r="L61" s="690">
        <f t="shared" si="84"/>
        <v>0</v>
      </c>
      <c r="M61" s="690">
        <f t="shared" si="84"/>
        <v>0</v>
      </c>
      <c r="N61" s="690">
        <f t="shared" si="84"/>
        <v>0</v>
      </c>
      <c r="O61" s="683">
        <f>SUM(C61:N61)</f>
        <v>0</v>
      </c>
      <c r="P61" s="690">
        <f t="shared" ref="P61:AA61" si="85">P58*P60</f>
        <v>65.625</v>
      </c>
      <c r="Q61" s="690">
        <f t="shared" si="85"/>
        <v>131.25</v>
      </c>
      <c r="R61" s="690">
        <f t="shared" si="85"/>
        <v>196.875</v>
      </c>
      <c r="S61" s="690">
        <f t="shared" si="85"/>
        <v>262.5</v>
      </c>
      <c r="T61" s="690">
        <f t="shared" si="85"/>
        <v>328.125</v>
      </c>
      <c r="U61" s="690">
        <f t="shared" si="85"/>
        <v>393.75</v>
      </c>
      <c r="V61" s="690">
        <f t="shared" si="85"/>
        <v>459.37500000000006</v>
      </c>
      <c r="W61" s="690">
        <f t="shared" si="85"/>
        <v>525</v>
      </c>
      <c r="X61" s="690">
        <f t="shared" si="85"/>
        <v>590.625</v>
      </c>
      <c r="Y61" s="690">
        <f t="shared" si="85"/>
        <v>656.25</v>
      </c>
      <c r="Z61" s="690">
        <f t="shared" si="85"/>
        <v>721.875</v>
      </c>
      <c r="AA61" s="690">
        <f t="shared" si="85"/>
        <v>787.5</v>
      </c>
      <c r="AB61" s="690">
        <f>SUM(P61:AA61)</f>
        <v>5118.75</v>
      </c>
      <c r="AC61" s="690">
        <f>AC58*AVERAGE(AA60,AC60)</f>
        <v>14883.75</v>
      </c>
      <c r="AD61" s="690">
        <f t="shared" ref="AD61:AJ61" si="86">AD58*AVERAGE(AC60,AD60)</f>
        <v>25798.5</v>
      </c>
      <c r="AE61" s="690">
        <f t="shared" si="86"/>
        <v>37201.436999999998</v>
      </c>
      <c r="AF61" s="690">
        <f t="shared" si="86"/>
        <v>48787.027380000007</v>
      </c>
      <c r="AG61" s="690">
        <f t="shared" si="86"/>
        <v>59312.376805499996</v>
      </c>
      <c r="AH61" s="690">
        <f t="shared" si="86"/>
        <v>68437.357852500005</v>
      </c>
      <c r="AI61" s="690">
        <f t="shared" si="86"/>
        <v>77562.338899500013</v>
      </c>
      <c r="AJ61" s="690">
        <f t="shared" si="86"/>
        <v>86687.319946500007</v>
      </c>
    </row>
    <row r="62" spans="1:37" s="674" customFormat="1" ht="13.15" customHeight="1" x14ac:dyDescent="0.2">
      <c r="A62" s="680" t="s">
        <v>249</v>
      </c>
      <c r="B62" s="681"/>
      <c r="C62" s="686">
        <v>3.5</v>
      </c>
      <c r="D62" s="686">
        <f>C62</f>
        <v>3.5</v>
      </c>
      <c r="E62" s="686">
        <f t="shared" ref="E62:N62" si="87">D62</f>
        <v>3.5</v>
      </c>
      <c r="F62" s="686">
        <f t="shared" si="87"/>
        <v>3.5</v>
      </c>
      <c r="G62" s="686">
        <f t="shared" si="87"/>
        <v>3.5</v>
      </c>
      <c r="H62" s="686">
        <f t="shared" si="87"/>
        <v>3.5</v>
      </c>
      <c r="I62" s="686">
        <f t="shared" si="87"/>
        <v>3.5</v>
      </c>
      <c r="J62" s="686">
        <f t="shared" si="87"/>
        <v>3.5</v>
      </c>
      <c r="K62" s="686">
        <f t="shared" si="87"/>
        <v>3.5</v>
      </c>
      <c r="L62" s="686">
        <f t="shared" si="87"/>
        <v>3.5</v>
      </c>
      <c r="M62" s="686">
        <f t="shared" si="87"/>
        <v>3.5</v>
      </c>
      <c r="N62" s="686">
        <f t="shared" si="87"/>
        <v>3.5</v>
      </c>
      <c r="O62" s="685">
        <f>N62</f>
        <v>3.5</v>
      </c>
      <c r="P62" s="686">
        <f>N62</f>
        <v>3.5</v>
      </c>
      <c r="Q62" s="686">
        <f>P62</f>
        <v>3.5</v>
      </c>
      <c r="R62" s="686">
        <f t="shared" ref="R62:AA62" si="88">Q62</f>
        <v>3.5</v>
      </c>
      <c r="S62" s="686">
        <f t="shared" si="88"/>
        <v>3.5</v>
      </c>
      <c r="T62" s="686">
        <f t="shared" si="88"/>
        <v>3.5</v>
      </c>
      <c r="U62" s="686">
        <f t="shared" si="88"/>
        <v>3.5</v>
      </c>
      <c r="V62" s="686">
        <f t="shared" si="88"/>
        <v>3.5</v>
      </c>
      <c r="W62" s="686">
        <f t="shared" si="88"/>
        <v>3.5</v>
      </c>
      <c r="X62" s="686">
        <f t="shared" si="88"/>
        <v>3.5</v>
      </c>
      <c r="Y62" s="686">
        <f t="shared" si="88"/>
        <v>3.5</v>
      </c>
      <c r="Z62" s="686">
        <f t="shared" si="88"/>
        <v>3.5</v>
      </c>
      <c r="AA62" s="686">
        <f t="shared" si="88"/>
        <v>3.5</v>
      </c>
      <c r="AB62" s="686">
        <f>AA62</f>
        <v>3.5</v>
      </c>
      <c r="AC62" s="686">
        <f>AA62</f>
        <v>3.5</v>
      </c>
      <c r="AD62" s="686">
        <f t="shared" ref="AD62:AJ62" si="89">AC62</f>
        <v>3.5</v>
      </c>
      <c r="AE62" s="686">
        <f t="shared" si="89"/>
        <v>3.5</v>
      </c>
      <c r="AF62" s="686">
        <f t="shared" si="89"/>
        <v>3.5</v>
      </c>
      <c r="AG62" s="686">
        <f t="shared" si="89"/>
        <v>3.5</v>
      </c>
      <c r="AH62" s="686">
        <f t="shared" si="89"/>
        <v>3.5</v>
      </c>
      <c r="AI62" s="686">
        <f t="shared" si="89"/>
        <v>3.5</v>
      </c>
      <c r="AJ62" s="686">
        <f t="shared" si="89"/>
        <v>3.5</v>
      </c>
    </row>
    <row r="63" spans="1:37" s="674" customFormat="1" ht="13.15" customHeight="1" x14ac:dyDescent="0.2">
      <c r="A63" s="680" t="s">
        <v>255</v>
      </c>
      <c r="B63" s="681"/>
      <c r="C63" s="690">
        <f t="shared" ref="C63:N63" si="90">C61*C62</f>
        <v>0</v>
      </c>
      <c r="D63" s="690">
        <f t="shared" si="90"/>
        <v>0</v>
      </c>
      <c r="E63" s="690">
        <f t="shared" si="90"/>
        <v>0</v>
      </c>
      <c r="F63" s="690">
        <f t="shared" si="90"/>
        <v>0</v>
      </c>
      <c r="G63" s="690">
        <f t="shared" si="90"/>
        <v>0</v>
      </c>
      <c r="H63" s="690">
        <f t="shared" si="90"/>
        <v>0</v>
      </c>
      <c r="I63" s="690">
        <f t="shared" si="90"/>
        <v>0</v>
      </c>
      <c r="J63" s="690">
        <f t="shared" si="90"/>
        <v>0</v>
      </c>
      <c r="K63" s="690">
        <f t="shared" si="90"/>
        <v>0</v>
      </c>
      <c r="L63" s="690">
        <f t="shared" si="90"/>
        <v>0</v>
      </c>
      <c r="M63" s="690">
        <f t="shared" si="90"/>
        <v>0</v>
      </c>
      <c r="N63" s="690">
        <f t="shared" si="90"/>
        <v>0</v>
      </c>
      <c r="O63" s="691">
        <f>SUM(C63:N63)</f>
        <v>0</v>
      </c>
      <c r="P63" s="690">
        <f t="shared" ref="P63:AA63" si="91">P61*P62</f>
        <v>229.6875</v>
      </c>
      <c r="Q63" s="690">
        <f t="shared" si="91"/>
        <v>459.375</v>
      </c>
      <c r="R63" s="690">
        <f t="shared" si="91"/>
        <v>689.0625</v>
      </c>
      <c r="S63" s="690">
        <f t="shared" si="91"/>
        <v>918.75</v>
      </c>
      <c r="T63" s="690">
        <f t="shared" si="91"/>
        <v>1148.4375</v>
      </c>
      <c r="U63" s="690">
        <f t="shared" si="91"/>
        <v>1378.125</v>
      </c>
      <c r="V63" s="690">
        <f t="shared" si="91"/>
        <v>1607.8125000000002</v>
      </c>
      <c r="W63" s="690">
        <f t="shared" si="91"/>
        <v>1837.5</v>
      </c>
      <c r="X63" s="690">
        <f t="shared" si="91"/>
        <v>2067.1875</v>
      </c>
      <c r="Y63" s="690">
        <f t="shared" si="91"/>
        <v>2296.875</v>
      </c>
      <c r="Z63" s="690">
        <f t="shared" si="91"/>
        <v>2526.5625</v>
      </c>
      <c r="AA63" s="690">
        <f t="shared" si="91"/>
        <v>2756.25</v>
      </c>
      <c r="AB63" s="691">
        <f>SUM(P63:AA63)</f>
        <v>17915.625</v>
      </c>
      <c r="AC63" s="690">
        <f t="shared" ref="AC63:AJ63" si="92">AC61*AC62</f>
        <v>52093.125</v>
      </c>
      <c r="AD63" s="690">
        <f t="shared" si="92"/>
        <v>90294.75</v>
      </c>
      <c r="AE63" s="690">
        <f t="shared" si="92"/>
        <v>130205.02949999999</v>
      </c>
      <c r="AF63" s="690">
        <f t="shared" si="92"/>
        <v>170754.59583000003</v>
      </c>
      <c r="AG63" s="690">
        <f t="shared" si="92"/>
        <v>207593.31881924998</v>
      </c>
      <c r="AH63" s="690">
        <f t="shared" si="92"/>
        <v>239530.75248375002</v>
      </c>
      <c r="AI63" s="690">
        <f t="shared" si="92"/>
        <v>271468.18614825007</v>
      </c>
      <c r="AJ63" s="690">
        <f t="shared" si="92"/>
        <v>303405.61981275002</v>
      </c>
    </row>
    <row r="65" spans="1:37" s="674" customFormat="1" ht="13.15" customHeight="1" x14ac:dyDescent="0.2">
      <c r="A65" s="680" t="s">
        <v>253</v>
      </c>
      <c r="B65" s="681"/>
      <c r="C65" s="690">
        <f>C11</f>
        <v>4</v>
      </c>
      <c r="D65" s="690">
        <f t="shared" ref="D65:AJ65" si="93">D11</f>
        <v>8</v>
      </c>
      <c r="E65" s="690">
        <f t="shared" si="93"/>
        <v>12</v>
      </c>
      <c r="F65" s="690">
        <f t="shared" si="93"/>
        <v>16</v>
      </c>
      <c r="G65" s="690">
        <f t="shared" si="93"/>
        <v>20</v>
      </c>
      <c r="H65" s="690">
        <f t="shared" si="93"/>
        <v>24</v>
      </c>
      <c r="I65" s="690">
        <f t="shared" si="93"/>
        <v>26</v>
      </c>
      <c r="J65" s="690">
        <f t="shared" si="93"/>
        <v>26</v>
      </c>
      <c r="K65" s="690">
        <f t="shared" si="93"/>
        <v>26</v>
      </c>
      <c r="L65" s="690">
        <f t="shared" si="93"/>
        <v>26</v>
      </c>
      <c r="M65" s="690">
        <f t="shared" si="93"/>
        <v>26</v>
      </c>
      <c r="N65" s="690">
        <f t="shared" si="93"/>
        <v>26</v>
      </c>
      <c r="O65" s="690">
        <f t="shared" si="93"/>
        <v>26</v>
      </c>
      <c r="P65" s="690">
        <f t="shared" si="93"/>
        <v>26</v>
      </c>
      <c r="Q65" s="690">
        <f t="shared" si="93"/>
        <v>26</v>
      </c>
      <c r="R65" s="690">
        <f t="shared" si="93"/>
        <v>26</v>
      </c>
      <c r="S65" s="690">
        <f t="shared" si="93"/>
        <v>26</v>
      </c>
      <c r="T65" s="690">
        <f t="shared" si="93"/>
        <v>26</v>
      </c>
      <c r="U65" s="690">
        <f t="shared" si="93"/>
        <v>26</v>
      </c>
      <c r="V65" s="690">
        <f t="shared" si="93"/>
        <v>26</v>
      </c>
      <c r="W65" s="690">
        <f t="shared" si="93"/>
        <v>26</v>
      </c>
      <c r="X65" s="690">
        <f t="shared" si="93"/>
        <v>26</v>
      </c>
      <c r="Y65" s="690">
        <f t="shared" si="93"/>
        <v>26</v>
      </c>
      <c r="Z65" s="690">
        <f t="shared" si="93"/>
        <v>26</v>
      </c>
      <c r="AA65" s="690">
        <f t="shared" si="93"/>
        <v>26</v>
      </c>
      <c r="AB65" s="690">
        <f t="shared" si="93"/>
        <v>26</v>
      </c>
      <c r="AC65" s="690">
        <f t="shared" si="93"/>
        <v>26</v>
      </c>
      <c r="AD65" s="690">
        <f t="shared" si="93"/>
        <v>26</v>
      </c>
      <c r="AE65" s="690">
        <f t="shared" si="93"/>
        <v>26</v>
      </c>
      <c r="AF65" s="690">
        <f t="shared" si="93"/>
        <v>26</v>
      </c>
      <c r="AG65" s="690">
        <f t="shared" si="93"/>
        <v>26</v>
      </c>
      <c r="AH65" s="690">
        <f t="shared" si="93"/>
        <v>26</v>
      </c>
      <c r="AI65" s="690">
        <f t="shared" si="93"/>
        <v>26</v>
      </c>
      <c r="AJ65" s="690">
        <f t="shared" si="93"/>
        <v>26</v>
      </c>
    </row>
    <row r="66" spans="1:37" s="674" customFormat="1" ht="13.15" customHeight="1" x14ac:dyDescent="0.2">
      <c r="A66" s="680" t="s">
        <v>252</v>
      </c>
      <c r="B66" s="681"/>
      <c r="C66" s="689">
        <v>0</v>
      </c>
      <c r="D66" s="689">
        <v>0</v>
      </c>
      <c r="E66" s="689">
        <v>0</v>
      </c>
      <c r="F66" s="689">
        <v>0</v>
      </c>
      <c r="G66" s="689">
        <v>0</v>
      </c>
      <c r="H66" s="689">
        <v>0</v>
      </c>
      <c r="I66" s="689">
        <v>0</v>
      </c>
      <c r="J66" s="689">
        <v>0</v>
      </c>
      <c r="K66" s="689">
        <v>0</v>
      </c>
      <c r="L66" s="689">
        <v>0</v>
      </c>
      <c r="M66" s="689">
        <v>0</v>
      </c>
      <c r="N66" s="689">
        <v>0</v>
      </c>
      <c r="O66" s="683">
        <f>SUM(C66:N66)</f>
        <v>0</v>
      </c>
      <c r="P66" s="689">
        <f t="shared" ref="P66:AA66" si="94">100/12</f>
        <v>8.3333333333333339</v>
      </c>
      <c r="Q66" s="689">
        <f t="shared" si="94"/>
        <v>8.3333333333333339</v>
      </c>
      <c r="R66" s="689">
        <f t="shared" si="94"/>
        <v>8.3333333333333339</v>
      </c>
      <c r="S66" s="689">
        <f t="shared" si="94"/>
        <v>8.3333333333333339</v>
      </c>
      <c r="T66" s="689">
        <f t="shared" si="94"/>
        <v>8.3333333333333339</v>
      </c>
      <c r="U66" s="689">
        <f t="shared" si="94"/>
        <v>8.3333333333333339</v>
      </c>
      <c r="V66" s="689">
        <f t="shared" si="94"/>
        <v>8.3333333333333339</v>
      </c>
      <c r="W66" s="689">
        <f t="shared" si="94"/>
        <v>8.3333333333333339</v>
      </c>
      <c r="X66" s="689">
        <f t="shared" si="94"/>
        <v>8.3333333333333339</v>
      </c>
      <c r="Y66" s="689">
        <f t="shared" si="94"/>
        <v>8.3333333333333339</v>
      </c>
      <c r="Z66" s="689">
        <f t="shared" si="94"/>
        <v>8.3333333333333339</v>
      </c>
      <c r="AA66" s="689">
        <f t="shared" si="94"/>
        <v>8.3333333333333339</v>
      </c>
      <c r="AB66" s="683">
        <f>SUM(P66:AA66)</f>
        <v>99.999999999999986</v>
      </c>
      <c r="AC66" s="689">
        <v>100</v>
      </c>
      <c r="AD66" s="689">
        <v>100</v>
      </c>
      <c r="AE66" s="689">
        <v>100</v>
      </c>
      <c r="AF66" s="689">
        <v>100</v>
      </c>
      <c r="AG66" s="689">
        <v>100</v>
      </c>
      <c r="AH66" s="689">
        <v>100</v>
      </c>
      <c r="AI66" s="689">
        <v>100</v>
      </c>
      <c r="AJ66" s="689">
        <v>100</v>
      </c>
    </row>
    <row r="67" spans="1:37" s="674" customFormat="1" ht="13.15" customHeight="1" x14ac:dyDescent="0.2">
      <c r="A67" s="680" t="s">
        <v>254</v>
      </c>
      <c r="B67" s="681"/>
      <c r="C67" s="690">
        <f t="shared" ref="C67:N67" si="95">C65*C66</f>
        <v>0</v>
      </c>
      <c r="D67" s="690">
        <f t="shared" si="95"/>
        <v>0</v>
      </c>
      <c r="E67" s="690">
        <f t="shared" si="95"/>
        <v>0</v>
      </c>
      <c r="F67" s="690">
        <f t="shared" si="95"/>
        <v>0</v>
      </c>
      <c r="G67" s="690">
        <f t="shared" si="95"/>
        <v>0</v>
      </c>
      <c r="H67" s="690">
        <f t="shared" si="95"/>
        <v>0</v>
      </c>
      <c r="I67" s="690">
        <f t="shared" si="95"/>
        <v>0</v>
      </c>
      <c r="J67" s="690">
        <f t="shared" si="95"/>
        <v>0</v>
      </c>
      <c r="K67" s="690">
        <f t="shared" si="95"/>
        <v>0</v>
      </c>
      <c r="L67" s="690">
        <f t="shared" si="95"/>
        <v>0</v>
      </c>
      <c r="M67" s="690">
        <f t="shared" si="95"/>
        <v>0</v>
      </c>
      <c r="N67" s="690">
        <f t="shared" si="95"/>
        <v>0</v>
      </c>
      <c r="O67" s="683">
        <f>SUM(C67:N67)</f>
        <v>0</v>
      </c>
      <c r="P67" s="690">
        <f t="shared" ref="P67:AA67" si="96">P65*P66</f>
        <v>216.66666666666669</v>
      </c>
      <c r="Q67" s="690">
        <f t="shared" si="96"/>
        <v>216.66666666666669</v>
      </c>
      <c r="R67" s="690">
        <f t="shared" si="96"/>
        <v>216.66666666666669</v>
      </c>
      <c r="S67" s="690">
        <f t="shared" si="96"/>
        <v>216.66666666666669</v>
      </c>
      <c r="T67" s="690">
        <f t="shared" si="96"/>
        <v>216.66666666666669</v>
      </c>
      <c r="U67" s="690">
        <f t="shared" si="96"/>
        <v>216.66666666666669</v>
      </c>
      <c r="V67" s="690">
        <f t="shared" si="96"/>
        <v>216.66666666666669</v>
      </c>
      <c r="W67" s="690">
        <f t="shared" si="96"/>
        <v>216.66666666666669</v>
      </c>
      <c r="X67" s="690">
        <f t="shared" si="96"/>
        <v>216.66666666666669</v>
      </c>
      <c r="Y67" s="690">
        <f t="shared" si="96"/>
        <v>216.66666666666669</v>
      </c>
      <c r="Z67" s="690">
        <f t="shared" si="96"/>
        <v>216.66666666666669</v>
      </c>
      <c r="AA67" s="690">
        <f t="shared" si="96"/>
        <v>216.66666666666669</v>
      </c>
      <c r="AB67" s="690">
        <f>SUM(P67:AA67)</f>
        <v>2600</v>
      </c>
      <c r="AC67" s="690">
        <f t="shared" ref="AC67:AJ67" si="97">AC65*AC66</f>
        <v>2600</v>
      </c>
      <c r="AD67" s="690">
        <f t="shared" si="97"/>
        <v>2600</v>
      </c>
      <c r="AE67" s="690">
        <f t="shared" si="97"/>
        <v>2600</v>
      </c>
      <c r="AF67" s="690">
        <f t="shared" si="97"/>
        <v>2600</v>
      </c>
      <c r="AG67" s="690">
        <f t="shared" si="97"/>
        <v>2600</v>
      </c>
      <c r="AH67" s="690">
        <f t="shared" si="97"/>
        <v>2600</v>
      </c>
      <c r="AI67" s="690">
        <f t="shared" si="97"/>
        <v>2600</v>
      </c>
      <c r="AJ67" s="690">
        <f t="shared" si="97"/>
        <v>2600</v>
      </c>
    </row>
    <row r="68" spans="1:37" s="674" customFormat="1" ht="13.15" customHeight="1" x14ac:dyDescent="0.2">
      <c r="A68" s="680" t="s">
        <v>249</v>
      </c>
      <c r="B68" s="681"/>
      <c r="C68" s="686">
        <v>3.5</v>
      </c>
      <c r="D68" s="686">
        <f>C68</f>
        <v>3.5</v>
      </c>
      <c r="E68" s="686">
        <f t="shared" ref="E68:N68" si="98">D68</f>
        <v>3.5</v>
      </c>
      <c r="F68" s="686">
        <f t="shared" si="98"/>
        <v>3.5</v>
      </c>
      <c r="G68" s="686">
        <f t="shared" si="98"/>
        <v>3.5</v>
      </c>
      <c r="H68" s="686">
        <f t="shared" si="98"/>
        <v>3.5</v>
      </c>
      <c r="I68" s="686">
        <f t="shared" si="98"/>
        <v>3.5</v>
      </c>
      <c r="J68" s="686">
        <f t="shared" si="98"/>
        <v>3.5</v>
      </c>
      <c r="K68" s="686">
        <f t="shared" si="98"/>
        <v>3.5</v>
      </c>
      <c r="L68" s="686">
        <f t="shared" si="98"/>
        <v>3.5</v>
      </c>
      <c r="M68" s="686">
        <f t="shared" si="98"/>
        <v>3.5</v>
      </c>
      <c r="N68" s="686">
        <f t="shared" si="98"/>
        <v>3.5</v>
      </c>
      <c r="O68" s="686">
        <f>N68</f>
        <v>3.5</v>
      </c>
      <c r="P68" s="686">
        <f>N68</f>
        <v>3.5</v>
      </c>
      <c r="Q68" s="686">
        <f>P68</f>
        <v>3.5</v>
      </c>
      <c r="R68" s="686">
        <f t="shared" ref="R68:AA68" si="99">Q68</f>
        <v>3.5</v>
      </c>
      <c r="S68" s="686">
        <f t="shared" si="99"/>
        <v>3.5</v>
      </c>
      <c r="T68" s="686">
        <f t="shared" si="99"/>
        <v>3.5</v>
      </c>
      <c r="U68" s="686">
        <f t="shared" si="99"/>
        <v>3.5</v>
      </c>
      <c r="V68" s="686">
        <f t="shared" si="99"/>
        <v>3.5</v>
      </c>
      <c r="W68" s="686">
        <f t="shared" si="99"/>
        <v>3.5</v>
      </c>
      <c r="X68" s="686">
        <f t="shared" si="99"/>
        <v>3.5</v>
      </c>
      <c r="Y68" s="686">
        <f t="shared" si="99"/>
        <v>3.5</v>
      </c>
      <c r="Z68" s="686">
        <f t="shared" si="99"/>
        <v>3.5</v>
      </c>
      <c r="AA68" s="686">
        <f t="shared" si="99"/>
        <v>3.5</v>
      </c>
      <c r="AB68" s="686">
        <f>AA68</f>
        <v>3.5</v>
      </c>
      <c r="AC68" s="686">
        <f>AA68</f>
        <v>3.5</v>
      </c>
      <c r="AD68" s="686">
        <f t="shared" ref="AD68:AJ68" si="100">AC68</f>
        <v>3.5</v>
      </c>
      <c r="AE68" s="686">
        <f t="shared" si="100"/>
        <v>3.5</v>
      </c>
      <c r="AF68" s="686">
        <f t="shared" si="100"/>
        <v>3.5</v>
      </c>
      <c r="AG68" s="686">
        <f t="shared" si="100"/>
        <v>3.5</v>
      </c>
      <c r="AH68" s="686">
        <f t="shared" si="100"/>
        <v>3.5</v>
      </c>
      <c r="AI68" s="686">
        <f t="shared" si="100"/>
        <v>3.5</v>
      </c>
      <c r="AJ68" s="686">
        <f t="shared" si="100"/>
        <v>3.5</v>
      </c>
    </row>
    <row r="69" spans="1:37" s="674" customFormat="1" ht="13.15" customHeight="1" x14ac:dyDescent="0.2">
      <c r="A69" s="680" t="s">
        <v>255</v>
      </c>
      <c r="B69" s="681"/>
      <c r="C69" s="690">
        <f t="shared" ref="C69:N69" si="101">C67*C68</f>
        <v>0</v>
      </c>
      <c r="D69" s="690">
        <f t="shared" si="101"/>
        <v>0</v>
      </c>
      <c r="E69" s="690">
        <f t="shared" si="101"/>
        <v>0</v>
      </c>
      <c r="F69" s="690">
        <f t="shared" si="101"/>
        <v>0</v>
      </c>
      <c r="G69" s="690">
        <f t="shared" si="101"/>
        <v>0</v>
      </c>
      <c r="H69" s="690">
        <f t="shared" si="101"/>
        <v>0</v>
      </c>
      <c r="I69" s="690">
        <f t="shared" si="101"/>
        <v>0</v>
      </c>
      <c r="J69" s="690">
        <f t="shared" si="101"/>
        <v>0</v>
      </c>
      <c r="K69" s="690">
        <f t="shared" si="101"/>
        <v>0</v>
      </c>
      <c r="L69" s="690">
        <f t="shared" si="101"/>
        <v>0</v>
      </c>
      <c r="M69" s="690">
        <f t="shared" si="101"/>
        <v>0</v>
      </c>
      <c r="N69" s="690">
        <f t="shared" si="101"/>
        <v>0</v>
      </c>
      <c r="O69" s="691">
        <f>SUM(C69:N69)</f>
        <v>0</v>
      </c>
      <c r="P69" s="690">
        <f t="shared" ref="P69:AA69" si="102">P67*P68</f>
        <v>758.33333333333337</v>
      </c>
      <c r="Q69" s="690">
        <f t="shared" si="102"/>
        <v>758.33333333333337</v>
      </c>
      <c r="R69" s="690">
        <f t="shared" si="102"/>
        <v>758.33333333333337</v>
      </c>
      <c r="S69" s="690">
        <f t="shared" si="102"/>
        <v>758.33333333333337</v>
      </c>
      <c r="T69" s="690">
        <f t="shared" si="102"/>
        <v>758.33333333333337</v>
      </c>
      <c r="U69" s="690">
        <f t="shared" si="102"/>
        <v>758.33333333333337</v>
      </c>
      <c r="V69" s="690">
        <f t="shared" si="102"/>
        <v>758.33333333333337</v>
      </c>
      <c r="W69" s="690">
        <f t="shared" si="102"/>
        <v>758.33333333333337</v>
      </c>
      <c r="X69" s="690">
        <f t="shared" si="102"/>
        <v>758.33333333333337</v>
      </c>
      <c r="Y69" s="690">
        <f t="shared" si="102"/>
        <v>758.33333333333337</v>
      </c>
      <c r="Z69" s="690">
        <f t="shared" si="102"/>
        <v>758.33333333333337</v>
      </c>
      <c r="AA69" s="690">
        <f t="shared" si="102"/>
        <v>758.33333333333337</v>
      </c>
      <c r="AB69" s="691">
        <f>SUM(P69:AA69)</f>
        <v>9100</v>
      </c>
      <c r="AC69" s="690">
        <f t="shared" ref="AC69:AJ69" si="103">AC67*AC68</f>
        <v>9100</v>
      </c>
      <c r="AD69" s="690">
        <f t="shared" si="103"/>
        <v>9100</v>
      </c>
      <c r="AE69" s="690">
        <f t="shared" si="103"/>
        <v>9100</v>
      </c>
      <c r="AF69" s="690">
        <f t="shared" si="103"/>
        <v>9100</v>
      </c>
      <c r="AG69" s="690">
        <f t="shared" si="103"/>
        <v>9100</v>
      </c>
      <c r="AH69" s="690">
        <f t="shared" si="103"/>
        <v>9100</v>
      </c>
      <c r="AI69" s="690">
        <f t="shared" si="103"/>
        <v>9100</v>
      </c>
      <c r="AJ69" s="690">
        <f t="shared" si="103"/>
        <v>9100</v>
      </c>
    </row>
    <row r="70" spans="1:37" s="674" customFormat="1" ht="13.15" customHeight="1" x14ac:dyDescent="0.2">
      <c r="B70" s="681"/>
      <c r="C70" s="682"/>
      <c r="D70" s="682"/>
      <c r="E70" s="682"/>
      <c r="F70" s="682"/>
      <c r="G70" s="682"/>
      <c r="H70" s="682"/>
      <c r="I70" s="682"/>
      <c r="J70" s="682"/>
      <c r="K70" s="682"/>
      <c r="L70" s="682"/>
      <c r="M70" s="682"/>
      <c r="N70" s="682"/>
      <c r="O70" s="683"/>
      <c r="P70" s="682"/>
      <c r="Q70" s="682"/>
      <c r="R70" s="682"/>
      <c r="S70" s="682"/>
      <c r="T70" s="682"/>
      <c r="U70" s="682"/>
      <c r="V70" s="682"/>
      <c r="W70" s="682"/>
      <c r="X70" s="682"/>
      <c r="Y70" s="682"/>
      <c r="Z70" s="682"/>
      <c r="AA70" s="682"/>
      <c r="AB70" s="683"/>
      <c r="AC70" s="683"/>
      <c r="AD70" s="683"/>
      <c r="AE70" s="683"/>
    </row>
    <row r="71" spans="1:37" s="674" customFormat="1" ht="13.15" customHeight="1" x14ac:dyDescent="0.2">
      <c r="A71" s="680" t="s">
        <v>256</v>
      </c>
      <c r="B71" s="681"/>
      <c r="C71" s="690">
        <f>C17</f>
        <v>1</v>
      </c>
      <c r="D71" s="690">
        <f t="shared" ref="D71:AJ71" si="104">D17</f>
        <v>2</v>
      </c>
      <c r="E71" s="690">
        <f t="shared" si="104"/>
        <v>3</v>
      </c>
      <c r="F71" s="690">
        <f t="shared" si="104"/>
        <v>4</v>
      </c>
      <c r="G71" s="690">
        <f t="shared" si="104"/>
        <v>4</v>
      </c>
      <c r="H71" s="690">
        <f t="shared" si="104"/>
        <v>4</v>
      </c>
      <c r="I71" s="690">
        <f t="shared" si="104"/>
        <v>4</v>
      </c>
      <c r="J71" s="690">
        <f t="shared" si="104"/>
        <v>4</v>
      </c>
      <c r="K71" s="690">
        <f t="shared" si="104"/>
        <v>4</v>
      </c>
      <c r="L71" s="690">
        <f t="shared" si="104"/>
        <v>4</v>
      </c>
      <c r="M71" s="690">
        <f t="shared" si="104"/>
        <v>4</v>
      </c>
      <c r="N71" s="690">
        <f t="shared" si="104"/>
        <v>4</v>
      </c>
      <c r="O71" s="690">
        <f t="shared" si="104"/>
        <v>4</v>
      </c>
      <c r="P71" s="690">
        <f t="shared" si="104"/>
        <v>4</v>
      </c>
      <c r="Q71" s="690">
        <f t="shared" si="104"/>
        <v>4</v>
      </c>
      <c r="R71" s="690">
        <f t="shared" si="104"/>
        <v>4</v>
      </c>
      <c r="S71" s="690">
        <f t="shared" si="104"/>
        <v>4</v>
      </c>
      <c r="T71" s="690">
        <f t="shared" si="104"/>
        <v>4</v>
      </c>
      <c r="U71" s="690">
        <f t="shared" si="104"/>
        <v>4</v>
      </c>
      <c r="V71" s="690">
        <f t="shared" si="104"/>
        <v>4</v>
      </c>
      <c r="W71" s="690">
        <f t="shared" si="104"/>
        <v>4</v>
      </c>
      <c r="X71" s="690">
        <f t="shared" si="104"/>
        <v>4</v>
      </c>
      <c r="Y71" s="690">
        <f t="shared" si="104"/>
        <v>4</v>
      </c>
      <c r="Z71" s="690">
        <f t="shared" si="104"/>
        <v>4</v>
      </c>
      <c r="AA71" s="690">
        <f t="shared" si="104"/>
        <v>4</v>
      </c>
      <c r="AB71" s="690">
        <f t="shared" si="104"/>
        <v>4</v>
      </c>
      <c r="AC71" s="690">
        <f t="shared" si="104"/>
        <v>4</v>
      </c>
      <c r="AD71" s="690">
        <f t="shared" si="104"/>
        <v>4</v>
      </c>
      <c r="AE71" s="690">
        <f t="shared" si="104"/>
        <v>4</v>
      </c>
      <c r="AF71" s="690">
        <f t="shared" si="104"/>
        <v>4</v>
      </c>
      <c r="AG71" s="690">
        <f t="shared" si="104"/>
        <v>4</v>
      </c>
      <c r="AH71" s="690">
        <f t="shared" si="104"/>
        <v>4</v>
      </c>
      <c r="AI71" s="690">
        <f t="shared" si="104"/>
        <v>4</v>
      </c>
      <c r="AJ71" s="690">
        <f t="shared" si="104"/>
        <v>4</v>
      </c>
    </row>
    <row r="72" spans="1:37" s="674" customFormat="1" ht="13.15" customHeight="1" x14ac:dyDescent="0.2">
      <c r="A72" s="680" t="s">
        <v>252</v>
      </c>
      <c r="B72" s="681"/>
      <c r="C72" s="689">
        <v>0</v>
      </c>
      <c r="D72" s="689">
        <v>0</v>
      </c>
      <c r="E72" s="689">
        <v>0</v>
      </c>
      <c r="F72" s="689">
        <v>0</v>
      </c>
      <c r="G72" s="689">
        <v>0</v>
      </c>
      <c r="H72" s="689">
        <v>0</v>
      </c>
      <c r="I72" s="689">
        <v>0</v>
      </c>
      <c r="J72" s="689">
        <v>0</v>
      </c>
      <c r="K72" s="689">
        <v>0</v>
      </c>
      <c r="L72" s="689">
        <v>0</v>
      </c>
      <c r="M72" s="689">
        <v>0</v>
      </c>
      <c r="N72" s="689">
        <v>0</v>
      </c>
      <c r="O72" s="683">
        <f>SUM(C72:N72)</f>
        <v>0</v>
      </c>
      <c r="P72" s="689">
        <f>300/12</f>
        <v>25</v>
      </c>
      <c r="Q72" s="689">
        <f t="shared" ref="Q72:AA72" si="105">300/12</f>
        <v>25</v>
      </c>
      <c r="R72" s="689">
        <f t="shared" si="105"/>
        <v>25</v>
      </c>
      <c r="S72" s="689">
        <f t="shared" si="105"/>
        <v>25</v>
      </c>
      <c r="T72" s="689">
        <f t="shared" si="105"/>
        <v>25</v>
      </c>
      <c r="U72" s="689">
        <f t="shared" si="105"/>
        <v>25</v>
      </c>
      <c r="V72" s="689">
        <f t="shared" si="105"/>
        <v>25</v>
      </c>
      <c r="W72" s="689">
        <f t="shared" si="105"/>
        <v>25</v>
      </c>
      <c r="X72" s="689">
        <f t="shared" si="105"/>
        <v>25</v>
      </c>
      <c r="Y72" s="689">
        <f t="shared" si="105"/>
        <v>25</v>
      </c>
      <c r="Z72" s="689">
        <f t="shared" si="105"/>
        <v>25</v>
      </c>
      <c r="AA72" s="689">
        <f t="shared" si="105"/>
        <v>25</v>
      </c>
      <c r="AB72" s="683">
        <f>SUM(P72:AA72)</f>
        <v>300</v>
      </c>
      <c r="AC72" s="689">
        <v>300</v>
      </c>
      <c r="AD72" s="689">
        <v>300</v>
      </c>
      <c r="AE72" s="689">
        <v>300</v>
      </c>
      <c r="AF72" s="689">
        <v>300</v>
      </c>
      <c r="AG72" s="689">
        <v>300</v>
      </c>
      <c r="AH72" s="689">
        <v>300</v>
      </c>
      <c r="AI72" s="689">
        <v>300</v>
      </c>
      <c r="AJ72" s="689">
        <v>300</v>
      </c>
    </row>
    <row r="73" spans="1:37" s="674" customFormat="1" ht="13.15" customHeight="1" x14ac:dyDescent="0.2">
      <c r="A73" s="680" t="s">
        <v>254</v>
      </c>
      <c r="B73" s="681"/>
      <c r="C73" s="690">
        <f t="shared" ref="C73:N73" si="106">C71*C72</f>
        <v>0</v>
      </c>
      <c r="D73" s="690">
        <f t="shared" si="106"/>
        <v>0</v>
      </c>
      <c r="E73" s="690">
        <f t="shared" si="106"/>
        <v>0</v>
      </c>
      <c r="F73" s="690">
        <f t="shared" si="106"/>
        <v>0</v>
      </c>
      <c r="G73" s="690">
        <f t="shared" si="106"/>
        <v>0</v>
      </c>
      <c r="H73" s="690">
        <f t="shared" si="106"/>
        <v>0</v>
      </c>
      <c r="I73" s="690">
        <f t="shared" si="106"/>
        <v>0</v>
      </c>
      <c r="J73" s="690">
        <f t="shared" si="106"/>
        <v>0</v>
      </c>
      <c r="K73" s="690">
        <f t="shared" si="106"/>
        <v>0</v>
      </c>
      <c r="L73" s="690">
        <f t="shared" si="106"/>
        <v>0</v>
      </c>
      <c r="M73" s="690">
        <f t="shared" si="106"/>
        <v>0</v>
      </c>
      <c r="N73" s="690">
        <f t="shared" si="106"/>
        <v>0</v>
      </c>
      <c r="O73" s="683">
        <f>SUM(C73:N73)</f>
        <v>0</v>
      </c>
      <c r="P73" s="690">
        <f t="shared" ref="P73:AA73" si="107">P71*P72</f>
        <v>100</v>
      </c>
      <c r="Q73" s="690">
        <f t="shared" si="107"/>
        <v>100</v>
      </c>
      <c r="R73" s="690">
        <f t="shared" si="107"/>
        <v>100</v>
      </c>
      <c r="S73" s="690">
        <f t="shared" si="107"/>
        <v>100</v>
      </c>
      <c r="T73" s="690">
        <f t="shared" si="107"/>
        <v>100</v>
      </c>
      <c r="U73" s="690">
        <f t="shared" si="107"/>
        <v>100</v>
      </c>
      <c r="V73" s="690">
        <f t="shared" si="107"/>
        <v>100</v>
      </c>
      <c r="W73" s="690">
        <f t="shared" si="107"/>
        <v>100</v>
      </c>
      <c r="X73" s="690">
        <f t="shared" si="107"/>
        <v>100</v>
      </c>
      <c r="Y73" s="690">
        <f t="shared" si="107"/>
        <v>100</v>
      </c>
      <c r="Z73" s="690">
        <f t="shared" si="107"/>
        <v>100</v>
      </c>
      <c r="AA73" s="690">
        <f t="shared" si="107"/>
        <v>100</v>
      </c>
      <c r="AB73" s="683">
        <f>SUM(P73:AA73)</f>
        <v>1200</v>
      </c>
      <c r="AC73" s="690">
        <f t="shared" ref="AC73:AJ73" si="108">AC71*AC72</f>
        <v>1200</v>
      </c>
      <c r="AD73" s="690">
        <f t="shared" si="108"/>
        <v>1200</v>
      </c>
      <c r="AE73" s="690">
        <f t="shared" si="108"/>
        <v>1200</v>
      </c>
      <c r="AF73" s="690">
        <f t="shared" si="108"/>
        <v>1200</v>
      </c>
      <c r="AG73" s="690">
        <f t="shared" si="108"/>
        <v>1200</v>
      </c>
      <c r="AH73" s="690">
        <f t="shared" si="108"/>
        <v>1200</v>
      </c>
      <c r="AI73" s="690">
        <f t="shared" si="108"/>
        <v>1200</v>
      </c>
      <c r="AJ73" s="690">
        <f t="shared" si="108"/>
        <v>1200</v>
      </c>
    </row>
    <row r="74" spans="1:37" s="674" customFormat="1" ht="13.15" customHeight="1" x14ac:dyDescent="0.2">
      <c r="A74" s="680" t="s">
        <v>249</v>
      </c>
      <c r="B74" s="681"/>
      <c r="C74" s="686">
        <v>3.5</v>
      </c>
      <c r="D74" s="686">
        <f>C74</f>
        <v>3.5</v>
      </c>
      <c r="E74" s="686">
        <f t="shared" ref="E74:N74" si="109">D74</f>
        <v>3.5</v>
      </c>
      <c r="F74" s="686">
        <f t="shared" si="109"/>
        <v>3.5</v>
      </c>
      <c r="G74" s="686">
        <f t="shared" si="109"/>
        <v>3.5</v>
      </c>
      <c r="H74" s="686">
        <f t="shared" si="109"/>
        <v>3.5</v>
      </c>
      <c r="I74" s="686">
        <f t="shared" si="109"/>
        <v>3.5</v>
      </c>
      <c r="J74" s="686">
        <f t="shared" si="109"/>
        <v>3.5</v>
      </c>
      <c r="K74" s="686">
        <f t="shared" si="109"/>
        <v>3.5</v>
      </c>
      <c r="L74" s="686">
        <f t="shared" si="109"/>
        <v>3.5</v>
      </c>
      <c r="M74" s="686">
        <f t="shared" si="109"/>
        <v>3.5</v>
      </c>
      <c r="N74" s="686">
        <f t="shared" si="109"/>
        <v>3.5</v>
      </c>
      <c r="O74" s="686">
        <f>N74</f>
        <v>3.5</v>
      </c>
      <c r="P74" s="686">
        <f>N74</f>
        <v>3.5</v>
      </c>
      <c r="Q74" s="686">
        <f>P74</f>
        <v>3.5</v>
      </c>
      <c r="R74" s="686">
        <f t="shared" ref="R74:AA74" si="110">Q74</f>
        <v>3.5</v>
      </c>
      <c r="S74" s="686">
        <f t="shared" si="110"/>
        <v>3.5</v>
      </c>
      <c r="T74" s="686">
        <f t="shared" si="110"/>
        <v>3.5</v>
      </c>
      <c r="U74" s="686">
        <f t="shared" si="110"/>
        <v>3.5</v>
      </c>
      <c r="V74" s="686">
        <f t="shared" si="110"/>
        <v>3.5</v>
      </c>
      <c r="W74" s="686">
        <f t="shared" si="110"/>
        <v>3.5</v>
      </c>
      <c r="X74" s="686">
        <f t="shared" si="110"/>
        <v>3.5</v>
      </c>
      <c r="Y74" s="686">
        <f t="shared" si="110"/>
        <v>3.5</v>
      </c>
      <c r="Z74" s="686">
        <f t="shared" si="110"/>
        <v>3.5</v>
      </c>
      <c r="AA74" s="686">
        <f t="shared" si="110"/>
        <v>3.5</v>
      </c>
      <c r="AB74" s="686">
        <f>AA74</f>
        <v>3.5</v>
      </c>
      <c r="AC74" s="686">
        <f>AA74</f>
        <v>3.5</v>
      </c>
      <c r="AD74" s="686">
        <f t="shared" ref="AD74:AJ74" si="111">AC74</f>
        <v>3.5</v>
      </c>
      <c r="AE74" s="686">
        <f t="shared" si="111"/>
        <v>3.5</v>
      </c>
      <c r="AF74" s="686">
        <f t="shared" si="111"/>
        <v>3.5</v>
      </c>
      <c r="AG74" s="686">
        <f t="shared" si="111"/>
        <v>3.5</v>
      </c>
      <c r="AH74" s="686">
        <f t="shared" si="111"/>
        <v>3.5</v>
      </c>
      <c r="AI74" s="686">
        <f t="shared" si="111"/>
        <v>3.5</v>
      </c>
      <c r="AJ74" s="686">
        <f t="shared" si="111"/>
        <v>3.5</v>
      </c>
    </row>
    <row r="75" spans="1:37" s="674" customFormat="1" ht="13.15" customHeight="1" x14ac:dyDescent="0.2">
      <c r="A75" s="680" t="s">
        <v>255</v>
      </c>
      <c r="B75" s="681"/>
      <c r="C75" s="690">
        <f t="shared" ref="C75:N75" si="112">C73*C74</f>
        <v>0</v>
      </c>
      <c r="D75" s="690">
        <f t="shared" si="112"/>
        <v>0</v>
      </c>
      <c r="E75" s="690">
        <f t="shared" si="112"/>
        <v>0</v>
      </c>
      <c r="F75" s="690">
        <f t="shared" si="112"/>
        <v>0</v>
      </c>
      <c r="G75" s="690">
        <f t="shared" si="112"/>
        <v>0</v>
      </c>
      <c r="H75" s="690">
        <f t="shared" si="112"/>
        <v>0</v>
      </c>
      <c r="I75" s="690">
        <f t="shared" si="112"/>
        <v>0</v>
      </c>
      <c r="J75" s="690">
        <f t="shared" si="112"/>
        <v>0</v>
      </c>
      <c r="K75" s="690">
        <f t="shared" si="112"/>
        <v>0</v>
      </c>
      <c r="L75" s="690">
        <f t="shared" si="112"/>
        <v>0</v>
      </c>
      <c r="M75" s="690">
        <f t="shared" si="112"/>
        <v>0</v>
      </c>
      <c r="N75" s="690">
        <f t="shared" si="112"/>
        <v>0</v>
      </c>
      <c r="O75" s="691">
        <f>SUM(C75:N75)</f>
        <v>0</v>
      </c>
      <c r="P75" s="690">
        <f t="shared" ref="P75:AA75" si="113">P73*P74</f>
        <v>350</v>
      </c>
      <c r="Q75" s="690">
        <f t="shared" si="113"/>
        <v>350</v>
      </c>
      <c r="R75" s="690">
        <f t="shared" si="113"/>
        <v>350</v>
      </c>
      <c r="S75" s="690">
        <f t="shared" si="113"/>
        <v>350</v>
      </c>
      <c r="T75" s="690">
        <f t="shared" si="113"/>
        <v>350</v>
      </c>
      <c r="U75" s="690">
        <f t="shared" si="113"/>
        <v>350</v>
      </c>
      <c r="V75" s="690">
        <f t="shared" si="113"/>
        <v>350</v>
      </c>
      <c r="W75" s="690">
        <f t="shared" si="113"/>
        <v>350</v>
      </c>
      <c r="X75" s="690">
        <f t="shared" si="113"/>
        <v>350</v>
      </c>
      <c r="Y75" s="690">
        <f t="shared" si="113"/>
        <v>350</v>
      </c>
      <c r="Z75" s="690">
        <f t="shared" si="113"/>
        <v>350</v>
      </c>
      <c r="AA75" s="690">
        <f t="shared" si="113"/>
        <v>350</v>
      </c>
      <c r="AB75" s="691">
        <f>SUM(P75:AA75)</f>
        <v>4200</v>
      </c>
      <c r="AC75" s="690">
        <f t="shared" ref="AC75:AJ75" si="114">AC73*AC74</f>
        <v>4200</v>
      </c>
      <c r="AD75" s="690">
        <f t="shared" si="114"/>
        <v>4200</v>
      </c>
      <c r="AE75" s="690">
        <f t="shared" si="114"/>
        <v>4200</v>
      </c>
      <c r="AF75" s="690">
        <f t="shared" si="114"/>
        <v>4200</v>
      </c>
      <c r="AG75" s="690">
        <f t="shared" si="114"/>
        <v>4200</v>
      </c>
      <c r="AH75" s="690">
        <f t="shared" si="114"/>
        <v>4200</v>
      </c>
      <c r="AI75" s="690">
        <f t="shared" si="114"/>
        <v>4200</v>
      </c>
      <c r="AJ75" s="690">
        <f t="shared" si="114"/>
        <v>4200</v>
      </c>
    </row>
    <row r="76" spans="1:37" s="674" customFormat="1" ht="13.15" customHeight="1" x14ac:dyDescent="0.2">
      <c r="A76" s="680"/>
      <c r="B76" s="681"/>
      <c r="C76" s="682"/>
      <c r="D76" s="682"/>
      <c r="E76" s="682"/>
      <c r="F76" s="682"/>
      <c r="G76" s="682"/>
      <c r="H76" s="682"/>
      <c r="I76" s="682"/>
      <c r="J76" s="682"/>
      <c r="K76" s="682"/>
      <c r="L76" s="682"/>
      <c r="M76" s="682"/>
      <c r="N76" s="682"/>
      <c r="O76" s="683"/>
      <c r="P76" s="682"/>
      <c r="Q76" s="682"/>
      <c r="R76" s="682"/>
      <c r="S76" s="682"/>
      <c r="T76" s="682"/>
      <c r="U76" s="682"/>
      <c r="V76" s="682"/>
      <c r="W76" s="682"/>
      <c r="X76" s="682"/>
      <c r="Y76" s="682"/>
      <c r="Z76" s="682"/>
      <c r="AA76" s="682"/>
      <c r="AB76" s="683"/>
      <c r="AC76" s="683"/>
      <c r="AD76" s="683"/>
      <c r="AE76" s="683"/>
    </row>
    <row r="77" spans="1:37" s="684" customFormat="1" ht="13.15" customHeight="1" x14ac:dyDescent="0.2">
      <c r="A77" s="676" t="s">
        <v>257</v>
      </c>
      <c r="B77" s="677"/>
      <c r="C77" s="694">
        <f>C63+C69+C75</f>
        <v>0</v>
      </c>
      <c r="D77" s="694">
        <f t="shared" ref="D77:N77" si="115">D63+D69+D75</f>
        <v>0</v>
      </c>
      <c r="E77" s="694">
        <f t="shared" si="115"/>
        <v>0</v>
      </c>
      <c r="F77" s="694">
        <f t="shared" si="115"/>
        <v>0</v>
      </c>
      <c r="G77" s="694">
        <f t="shared" si="115"/>
        <v>0</v>
      </c>
      <c r="H77" s="694">
        <f t="shared" si="115"/>
        <v>0</v>
      </c>
      <c r="I77" s="694">
        <f t="shared" si="115"/>
        <v>0</v>
      </c>
      <c r="J77" s="694">
        <f t="shared" si="115"/>
        <v>0</v>
      </c>
      <c r="K77" s="694">
        <f t="shared" si="115"/>
        <v>0</v>
      </c>
      <c r="L77" s="694">
        <f t="shared" si="115"/>
        <v>0</v>
      </c>
      <c r="M77" s="694">
        <f t="shared" si="115"/>
        <v>0</v>
      </c>
      <c r="N77" s="694">
        <f t="shared" si="115"/>
        <v>0</v>
      </c>
      <c r="O77" s="679">
        <f>SUM(C77:N77)</f>
        <v>0</v>
      </c>
      <c r="P77" s="694">
        <f t="shared" ref="P77:AA77" si="116">P63+P69+P75</f>
        <v>1338.0208333333335</v>
      </c>
      <c r="Q77" s="694">
        <f t="shared" si="116"/>
        <v>1567.7083333333335</v>
      </c>
      <c r="R77" s="694">
        <f t="shared" si="116"/>
        <v>1797.3958333333335</v>
      </c>
      <c r="S77" s="694">
        <f t="shared" si="116"/>
        <v>2027.0833333333335</v>
      </c>
      <c r="T77" s="694">
        <f t="shared" si="116"/>
        <v>2256.7708333333335</v>
      </c>
      <c r="U77" s="694">
        <f t="shared" si="116"/>
        <v>2486.4583333333335</v>
      </c>
      <c r="V77" s="694">
        <f t="shared" si="116"/>
        <v>2716.1458333333335</v>
      </c>
      <c r="W77" s="694">
        <f t="shared" si="116"/>
        <v>2945.8333333333335</v>
      </c>
      <c r="X77" s="694">
        <f t="shared" si="116"/>
        <v>3175.5208333333335</v>
      </c>
      <c r="Y77" s="694">
        <f t="shared" si="116"/>
        <v>3405.2083333333335</v>
      </c>
      <c r="Z77" s="694">
        <f t="shared" si="116"/>
        <v>3634.8958333333335</v>
      </c>
      <c r="AA77" s="694">
        <f t="shared" si="116"/>
        <v>3864.5833333333335</v>
      </c>
      <c r="AB77" s="694">
        <f>SUM(P77:AA77)</f>
        <v>31215.624999999996</v>
      </c>
      <c r="AC77" s="694">
        <f t="shared" ref="AC77:AJ77" si="117">AC63+AC69+AC75</f>
        <v>65393.125</v>
      </c>
      <c r="AD77" s="694">
        <f t="shared" si="117"/>
        <v>103594.75</v>
      </c>
      <c r="AE77" s="694">
        <f t="shared" si="117"/>
        <v>143505.0295</v>
      </c>
      <c r="AF77" s="694">
        <f t="shared" si="117"/>
        <v>184054.59583000003</v>
      </c>
      <c r="AG77" s="694">
        <f t="shared" si="117"/>
        <v>220893.31881924998</v>
      </c>
      <c r="AH77" s="694">
        <f t="shared" si="117"/>
        <v>252830.75248375002</v>
      </c>
      <c r="AI77" s="694">
        <f t="shared" si="117"/>
        <v>284768.18614825007</v>
      </c>
      <c r="AJ77" s="694">
        <f t="shared" si="117"/>
        <v>316705.61981275002</v>
      </c>
    </row>
    <row r="78" spans="1:37" s="674" customFormat="1" ht="13.15" customHeight="1" x14ac:dyDescent="0.2">
      <c r="A78" s="680"/>
      <c r="B78" s="681"/>
      <c r="C78" s="682"/>
      <c r="D78" s="682"/>
      <c r="E78" s="682"/>
      <c r="F78" s="682"/>
      <c r="G78" s="682"/>
      <c r="H78" s="682"/>
      <c r="I78" s="682"/>
      <c r="J78" s="682"/>
      <c r="K78" s="682"/>
      <c r="L78" s="682"/>
      <c r="M78" s="682"/>
      <c r="N78" s="682"/>
      <c r="O78" s="683"/>
      <c r="P78" s="682"/>
      <c r="Q78" s="682"/>
      <c r="R78" s="682"/>
      <c r="S78" s="682"/>
      <c r="T78" s="682"/>
      <c r="U78" s="682"/>
      <c r="V78" s="682"/>
      <c r="W78" s="682"/>
      <c r="X78" s="682"/>
      <c r="Y78" s="682"/>
      <c r="Z78" s="682"/>
      <c r="AA78" s="682"/>
      <c r="AB78" s="683"/>
      <c r="AC78" s="683"/>
      <c r="AD78" s="683"/>
      <c r="AE78" s="683"/>
    </row>
    <row r="79" spans="1:37" s="674" customFormat="1" ht="13.15" customHeight="1" x14ac:dyDescent="0.2">
      <c r="A79" s="680" t="s">
        <v>258</v>
      </c>
      <c r="B79" s="681"/>
      <c r="C79" s="767">
        <f>C25</f>
        <v>300</v>
      </c>
      <c r="D79" s="767">
        <f t="shared" ref="D79:AJ79" si="118">D25</f>
        <v>300</v>
      </c>
      <c r="E79" s="767">
        <f t="shared" si="118"/>
        <v>300</v>
      </c>
      <c r="F79" s="767">
        <f t="shared" si="118"/>
        <v>300</v>
      </c>
      <c r="G79" s="767">
        <f t="shared" si="118"/>
        <v>300</v>
      </c>
      <c r="H79" s="767">
        <f t="shared" si="118"/>
        <v>300</v>
      </c>
      <c r="I79" s="767">
        <f t="shared" si="118"/>
        <v>300</v>
      </c>
      <c r="J79" s="767">
        <f t="shared" si="118"/>
        <v>300</v>
      </c>
      <c r="K79" s="767">
        <f t="shared" si="118"/>
        <v>300</v>
      </c>
      <c r="L79" s="767">
        <f t="shared" si="118"/>
        <v>300</v>
      </c>
      <c r="M79" s="767">
        <f t="shared" si="118"/>
        <v>300</v>
      </c>
      <c r="N79" s="767">
        <f t="shared" si="118"/>
        <v>300</v>
      </c>
      <c r="O79" s="767">
        <f t="shared" si="118"/>
        <v>300</v>
      </c>
      <c r="P79" s="767">
        <f t="shared" si="118"/>
        <v>300</v>
      </c>
      <c r="Q79" s="767">
        <f t="shared" si="118"/>
        <v>300</v>
      </c>
      <c r="R79" s="767">
        <f t="shared" si="118"/>
        <v>300</v>
      </c>
      <c r="S79" s="767">
        <f t="shared" si="118"/>
        <v>300</v>
      </c>
      <c r="T79" s="767">
        <f t="shared" si="118"/>
        <v>300</v>
      </c>
      <c r="U79" s="767">
        <f t="shared" si="118"/>
        <v>300</v>
      </c>
      <c r="V79" s="767">
        <f t="shared" si="118"/>
        <v>300</v>
      </c>
      <c r="W79" s="767">
        <f t="shared" si="118"/>
        <v>300</v>
      </c>
      <c r="X79" s="767">
        <f t="shared" si="118"/>
        <v>300</v>
      </c>
      <c r="Y79" s="767">
        <f t="shared" si="118"/>
        <v>300</v>
      </c>
      <c r="Z79" s="767">
        <f t="shared" si="118"/>
        <v>300</v>
      </c>
      <c r="AA79" s="767">
        <f t="shared" si="118"/>
        <v>300</v>
      </c>
      <c r="AB79" s="767">
        <f t="shared" si="118"/>
        <v>300</v>
      </c>
      <c r="AC79" s="767">
        <f t="shared" si="118"/>
        <v>300</v>
      </c>
      <c r="AD79" s="767">
        <f t="shared" si="118"/>
        <v>300</v>
      </c>
      <c r="AE79" s="767">
        <f t="shared" si="118"/>
        <v>300</v>
      </c>
      <c r="AF79" s="767">
        <f t="shared" si="118"/>
        <v>300</v>
      </c>
      <c r="AG79" s="767">
        <f t="shared" si="118"/>
        <v>300</v>
      </c>
      <c r="AH79" s="767">
        <f t="shared" si="118"/>
        <v>300</v>
      </c>
      <c r="AI79" s="767">
        <f t="shared" si="118"/>
        <v>300</v>
      </c>
      <c r="AJ79" s="767">
        <f t="shared" si="118"/>
        <v>300</v>
      </c>
      <c r="AK79" s="693"/>
    </row>
    <row r="80" spans="1:37" s="674" customFormat="1" ht="13.15" customHeight="1" x14ac:dyDescent="0.2">
      <c r="A80" s="680"/>
      <c r="B80" s="681"/>
      <c r="C80" s="682"/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3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2"/>
      <c r="AA80" s="682"/>
      <c r="AB80" s="683"/>
      <c r="AC80" s="683"/>
      <c r="AD80" s="683"/>
      <c r="AE80" s="683"/>
    </row>
    <row r="81" spans="1:36" s="766" customFormat="1" ht="13.15" customHeight="1" x14ac:dyDescent="0.2">
      <c r="A81" s="763" t="s">
        <v>323</v>
      </c>
      <c r="B81" s="764"/>
      <c r="C81" s="765">
        <f>C77*C79</f>
        <v>0</v>
      </c>
      <c r="D81" s="765">
        <f t="shared" ref="D81:N81" si="119">D77*D79</f>
        <v>0</v>
      </c>
      <c r="E81" s="765">
        <f t="shared" si="119"/>
        <v>0</v>
      </c>
      <c r="F81" s="765">
        <f t="shared" si="119"/>
        <v>0</v>
      </c>
      <c r="G81" s="765">
        <f t="shared" si="119"/>
        <v>0</v>
      </c>
      <c r="H81" s="765">
        <f t="shared" si="119"/>
        <v>0</v>
      </c>
      <c r="I81" s="765">
        <f t="shared" si="119"/>
        <v>0</v>
      </c>
      <c r="J81" s="765">
        <f t="shared" si="119"/>
        <v>0</v>
      </c>
      <c r="K81" s="765">
        <f t="shared" si="119"/>
        <v>0</v>
      </c>
      <c r="L81" s="765">
        <f t="shared" si="119"/>
        <v>0</v>
      </c>
      <c r="M81" s="765">
        <f t="shared" si="119"/>
        <v>0</v>
      </c>
      <c r="N81" s="765">
        <f t="shared" si="119"/>
        <v>0</v>
      </c>
      <c r="O81" s="765">
        <f>SUM(C81:N81)</f>
        <v>0</v>
      </c>
      <c r="P81" s="765">
        <f>P77*P79</f>
        <v>401406.25000000006</v>
      </c>
      <c r="Q81" s="765">
        <f t="shared" ref="Q81:AA81" si="120">Q77*Q79</f>
        <v>470312.50000000006</v>
      </c>
      <c r="R81" s="765">
        <f t="shared" si="120"/>
        <v>539218.75</v>
      </c>
      <c r="S81" s="765">
        <f t="shared" si="120"/>
        <v>608125</v>
      </c>
      <c r="T81" s="765">
        <f t="shared" si="120"/>
        <v>677031.25</v>
      </c>
      <c r="U81" s="765">
        <f t="shared" si="120"/>
        <v>745937.5</v>
      </c>
      <c r="V81" s="765">
        <f t="shared" si="120"/>
        <v>814843.75</v>
      </c>
      <c r="W81" s="765">
        <f t="shared" si="120"/>
        <v>883750</v>
      </c>
      <c r="X81" s="765">
        <f t="shared" si="120"/>
        <v>952656.25</v>
      </c>
      <c r="Y81" s="765">
        <f t="shared" si="120"/>
        <v>1021562.5</v>
      </c>
      <c r="Z81" s="765">
        <f t="shared" si="120"/>
        <v>1090468.75</v>
      </c>
      <c r="AA81" s="765">
        <f t="shared" si="120"/>
        <v>1159375</v>
      </c>
      <c r="AB81" s="765">
        <f>SUM(P81:AA81)</f>
        <v>9364687.5</v>
      </c>
      <c r="AC81" s="765">
        <f t="shared" ref="AC81:AJ81" si="121">AC77*AC79</f>
        <v>19617937.5</v>
      </c>
      <c r="AD81" s="765">
        <f t="shared" si="121"/>
        <v>31078425</v>
      </c>
      <c r="AE81" s="765">
        <f t="shared" si="121"/>
        <v>43051508.850000001</v>
      </c>
      <c r="AF81" s="765">
        <f t="shared" si="121"/>
        <v>55216378.749000013</v>
      </c>
      <c r="AG81" s="765">
        <f t="shared" si="121"/>
        <v>66267995.64577499</v>
      </c>
      <c r="AH81" s="765">
        <f t="shared" si="121"/>
        <v>75849225.745125011</v>
      </c>
      <c r="AI81" s="765">
        <f t="shared" si="121"/>
        <v>85430455.844475016</v>
      </c>
      <c r="AJ81" s="765">
        <f t="shared" si="121"/>
        <v>95011685.943825006</v>
      </c>
    </row>
    <row r="82" spans="1:36" s="674" customFormat="1" ht="13.15" customHeight="1" x14ac:dyDescent="0.2">
      <c r="A82" s="680"/>
      <c r="B82" s="681"/>
      <c r="C82" s="682"/>
      <c r="D82" s="682"/>
      <c r="E82" s="682"/>
      <c r="F82" s="682"/>
      <c r="G82" s="682"/>
      <c r="H82" s="682"/>
      <c r="I82" s="682"/>
      <c r="J82" s="682"/>
      <c r="K82" s="682"/>
      <c r="L82" s="682"/>
      <c r="M82" s="682"/>
      <c r="N82" s="682"/>
      <c r="O82" s="683"/>
      <c r="P82" s="682"/>
      <c r="Q82" s="682"/>
      <c r="R82" s="682"/>
      <c r="S82" s="682"/>
      <c r="T82" s="682"/>
      <c r="U82" s="682"/>
      <c r="V82" s="682"/>
      <c r="W82" s="682"/>
      <c r="X82" s="682"/>
      <c r="Y82" s="682"/>
      <c r="Z82" s="682"/>
      <c r="AA82" s="682"/>
      <c r="AB82" s="683"/>
      <c r="AC82" s="683"/>
      <c r="AD82" s="683"/>
      <c r="AE82" s="683"/>
    </row>
    <row r="83" spans="1:36" s="674" customFormat="1" ht="13.15" customHeight="1" x14ac:dyDescent="0.2">
      <c r="A83" s="680"/>
      <c r="B83" s="681"/>
      <c r="C83" s="682"/>
      <c r="D83" s="682"/>
      <c r="E83" s="682"/>
      <c r="F83" s="682"/>
      <c r="G83" s="682"/>
      <c r="H83" s="682"/>
      <c r="I83" s="682"/>
      <c r="J83" s="682"/>
      <c r="K83" s="682"/>
      <c r="L83" s="682"/>
      <c r="M83" s="682"/>
      <c r="N83" s="682"/>
      <c r="O83" s="683"/>
      <c r="P83" s="682"/>
      <c r="Q83" s="682"/>
      <c r="R83" s="682"/>
      <c r="S83" s="682"/>
      <c r="T83" s="682"/>
      <c r="U83" s="682"/>
      <c r="V83" s="682"/>
      <c r="W83" s="682"/>
      <c r="X83" s="682"/>
      <c r="Y83" s="682"/>
      <c r="Z83" s="682"/>
      <c r="AA83" s="682"/>
      <c r="AB83" s="683"/>
      <c r="AC83" s="683"/>
      <c r="AD83" s="683"/>
      <c r="AE83" s="683"/>
    </row>
    <row r="84" spans="1:36" s="674" customFormat="1" ht="13.15" customHeight="1" x14ac:dyDescent="0.2">
      <c r="A84" s="676" t="s">
        <v>443</v>
      </c>
      <c r="B84" s="677"/>
      <c r="C84" s="678"/>
      <c r="D84" s="678"/>
      <c r="E84" s="678"/>
      <c r="F84" s="678"/>
      <c r="G84" s="678"/>
      <c r="H84" s="678"/>
      <c r="I84" s="678"/>
      <c r="J84" s="678"/>
      <c r="K84" s="678"/>
      <c r="L84" s="678"/>
      <c r="M84" s="678"/>
      <c r="N84" s="678"/>
      <c r="O84" s="679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9"/>
      <c r="AC84" s="679"/>
      <c r="AD84" s="679"/>
      <c r="AE84" s="679"/>
    </row>
    <row r="85" spans="1:36" s="674" customFormat="1" ht="13.15" customHeight="1" x14ac:dyDescent="0.2">
      <c r="A85" s="674" t="s">
        <v>250</v>
      </c>
      <c r="B85" s="681"/>
      <c r="C85" s="690">
        <f>$O85/12</f>
        <v>18750</v>
      </c>
      <c r="D85" s="690">
        <f t="shared" ref="D85:N85" si="122">$O85/12</f>
        <v>18750</v>
      </c>
      <c r="E85" s="690">
        <f t="shared" si="122"/>
        <v>18750</v>
      </c>
      <c r="F85" s="690">
        <f t="shared" si="122"/>
        <v>18750</v>
      </c>
      <c r="G85" s="690">
        <f t="shared" si="122"/>
        <v>18750</v>
      </c>
      <c r="H85" s="690">
        <f t="shared" si="122"/>
        <v>18750</v>
      </c>
      <c r="I85" s="690">
        <f t="shared" si="122"/>
        <v>18750</v>
      </c>
      <c r="J85" s="690">
        <f t="shared" si="122"/>
        <v>18750</v>
      </c>
      <c r="K85" s="690">
        <f t="shared" si="122"/>
        <v>18750</v>
      </c>
      <c r="L85" s="690">
        <f t="shared" si="122"/>
        <v>18750</v>
      </c>
      <c r="M85" s="690">
        <f t="shared" si="122"/>
        <v>18750</v>
      </c>
      <c r="N85" s="690">
        <f t="shared" si="122"/>
        <v>18750</v>
      </c>
      <c r="O85" s="689">
        <v>225000</v>
      </c>
      <c r="P85" s="690">
        <f>$AB85/12</f>
        <v>19687.5</v>
      </c>
      <c r="Q85" s="690">
        <f t="shared" ref="Q85:AA85" si="123">$AB85/12</f>
        <v>19687.5</v>
      </c>
      <c r="R85" s="690">
        <f t="shared" si="123"/>
        <v>19687.5</v>
      </c>
      <c r="S85" s="690">
        <f t="shared" si="123"/>
        <v>19687.5</v>
      </c>
      <c r="T85" s="690">
        <f t="shared" si="123"/>
        <v>19687.5</v>
      </c>
      <c r="U85" s="690">
        <f t="shared" si="123"/>
        <v>19687.5</v>
      </c>
      <c r="V85" s="690">
        <f t="shared" si="123"/>
        <v>19687.5</v>
      </c>
      <c r="W85" s="690">
        <f t="shared" si="123"/>
        <v>19687.5</v>
      </c>
      <c r="X85" s="690">
        <f t="shared" si="123"/>
        <v>19687.5</v>
      </c>
      <c r="Y85" s="690">
        <f t="shared" si="123"/>
        <v>19687.5</v>
      </c>
      <c r="Z85" s="690">
        <f t="shared" si="123"/>
        <v>19687.5</v>
      </c>
      <c r="AA85" s="690">
        <f t="shared" si="123"/>
        <v>19687.5</v>
      </c>
      <c r="AB85" s="690">
        <f>O85*(1+AB86)</f>
        <v>236250</v>
      </c>
      <c r="AC85" s="690">
        <f>AB85*(1+AC86)</f>
        <v>248062.5</v>
      </c>
      <c r="AD85" s="690">
        <f t="shared" ref="AD85:AJ85" si="124">AC85*(1+AD86)</f>
        <v>257985</v>
      </c>
      <c r="AE85" s="690">
        <f t="shared" si="124"/>
        <v>265724.55</v>
      </c>
      <c r="AF85" s="690">
        <f t="shared" si="124"/>
        <v>271039.04099999997</v>
      </c>
      <c r="AG85" s="690">
        <f t="shared" si="124"/>
        <v>273749.43140999996</v>
      </c>
      <c r="AH85" s="690">
        <f t="shared" si="124"/>
        <v>273749.43140999996</v>
      </c>
      <c r="AI85" s="690">
        <f t="shared" si="124"/>
        <v>273749.43140999996</v>
      </c>
      <c r="AJ85" s="690">
        <f t="shared" si="124"/>
        <v>273749.43140999996</v>
      </c>
    </row>
    <row r="86" spans="1:36" s="688" customFormat="1" ht="13.15" customHeight="1" x14ac:dyDescent="0.2">
      <c r="A86" s="680" t="s">
        <v>324</v>
      </c>
      <c r="B86" s="681"/>
      <c r="C86" s="687"/>
      <c r="D86" s="687"/>
      <c r="E86" s="687"/>
      <c r="F86" s="687"/>
      <c r="G86" s="687"/>
      <c r="H86" s="687"/>
      <c r="I86" s="687"/>
      <c r="J86" s="687"/>
      <c r="K86" s="687"/>
      <c r="L86" s="687"/>
      <c r="M86" s="687"/>
      <c r="N86" s="687"/>
      <c r="O86" s="692"/>
      <c r="P86" s="687"/>
      <c r="Q86" s="687"/>
      <c r="R86" s="687"/>
      <c r="S86" s="687"/>
      <c r="T86" s="687"/>
      <c r="U86" s="687"/>
      <c r="V86" s="687"/>
      <c r="W86" s="687"/>
      <c r="X86" s="687"/>
      <c r="Y86" s="687"/>
      <c r="Z86" s="687"/>
      <c r="AA86" s="687"/>
      <c r="AB86" s="687">
        <v>0.05</v>
      </c>
      <c r="AC86" s="687">
        <v>0.05</v>
      </c>
      <c r="AD86" s="687">
        <f>AC86-1%</f>
        <v>0.04</v>
      </c>
      <c r="AE86" s="687">
        <f>AD86-1%</f>
        <v>0.03</v>
      </c>
      <c r="AF86" s="687">
        <f>AE86-1%</f>
        <v>1.9999999999999997E-2</v>
      </c>
      <c r="AG86" s="687">
        <f>AF86-1%</f>
        <v>9.9999999999999967E-3</v>
      </c>
      <c r="AH86" s="687">
        <f>AG86-1%</f>
        <v>0</v>
      </c>
      <c r="AI86" s="688">
        <f>AH86</f>
        <v>0</v>
      </c>
      <c r="AJ86" s="688">
        <f>AI86</f>
        <v>0</v>
      </c>
    </row>
    <row r="87" spans="1:36" s="688" customFormat="1" ht="13.15" customHeight="1" x14ac:dyDescent="0.2">
      <c r="A87" s="680" t="s">
        <v>248</v>
      </c>
      <c r="B87" s="681"/>
      <c r="C87" s="687">
        <f t="shared" ref="C87:N87" si="125">C60</f>
        <v>0</v>
      </c>
      <c r="D87" s="687">
        <f t="shared" si="125"/>
        <v>0</v>
      </c>
      <c r="E87" s="687">
        <f t="shared" si="125"/>
        <v>0</v>
      </c>
      <c r="F87" s="687">
        <f t="shared" si="125"/>
        <v>0</v>
      </c>
      <c r="G87" s="687">
        <f t="shared" si="125"/>
        <v>0</v>
      </c>
      <c r="H87" s="687">
        <f t="shared" si="125"/>
        <v>0</v>
      </c>
      <c r="I87" s="687">
        <f t="shared" si="125"/>
        <v>0</v>
      </c>
      <c r="J87" s="687">
        <f t="shared" si="125"/>
        <v>0</v>
      </c>
      <c r="K87" s="687">
        <f t="shared" si="125"/>
        <v>0</v>
      </c>
      <c r="L87" s="687">
        <f t="shared" si="125"/>
        <v>0</v>
      </c>
      <c r="M87" s="687">
        <f t="shared" si="125"/>
        <v>0</v>
      </c>
      <c r="N87" s="687">
        <f t="shared" si="125"/>
        <v>0</v>
      </c>
      <c r="O87" s="692">
        <f>N87</f>
        <v>0</v>
      </c>
      <c r="P87" s="687">
        <v>0</v>
      </c>
      <c r="Q87" s="687">
        <f>P87</f>
        <v>0</v>
      </c>
      <c r="R87" s="687">
        <f>Q87</f>
        <v>0</v>
      </c>
      <c r="S87" s="687">
        <f>R87</f>
        <v>0</v>
      </c>
      <c r="T87" s="687">
        <f>S87</f>
        <v>0</v>
      </c>
      <c r="U87" s="687">
        <f>T87</f>
        <v>0</v>
      </c>
      <c r="V87" s="687">
        <v>1E-3</v>
      </c>
      <c r="W87" s="687">
        <f>V87+0.1%</f>
        <v>2E-3</v>
      </c>
      <c r="X87" s="687">
        <f>W87+0.1%</f>
        <v>3.0000000000000001E-3</v>
      </c>
      <c r="Y87" s="687">
        <f>X87+0.1%</f>
        <v>4.0000000000000001E-3</v>
      </c>
      <c r="Z87" s="687">
        <f>Y87+0.1%</f>
        <v>5.0000000000000001E-3</v>
      </c>
      <c r="AA87" s="687">
        <f>Z87+0.1%</f>
        <v>6.0000000000000001E-3</v>
      </c>
      <c r="AB87" s="692">
        <f>AA87</f>
        <v>6.0000000000000001E-3</v>
      </c>
      <c r="AC87" s="687">
        <v>1.7999999999999999E-2</v>
      </c>
      <c r="AD87" s="687">
        <f>AC87*2</f>
        <v>3.5999999999999997E-2</v>
      </c>
      <c r="AE87" s="687">
        <f>AD87*2</f>
        <v>7.1999999999999995E-2</v>
      </c>
      <c r="AF87" s="687">
        <v>0.11</v>
      </c>
      <c r="AG87" s="687">
        <f>AF87+2%</f>
        <v>0.13</v>
      </c>
      <c r="AH87" s="687">
        <f>AG87+2%</f>
        <v>0.15</v>
      </c>
      <c r="AI87" s="687">
        <f>AH87+2%</f>
        <v>0.16999999999999998</v>
      </c>
      <c r="AJ87" s="687">
        <f>AI87+2%</f>
        <v>0.18999999999999997</v>
      </c>
    </row>
    <row r="88" spans="1:36" s="674" customFormat="1" ht="13.15" customHeight="1" x14ac:dyDescent="0.2">
      <c r="A88" s="680" t="s">
        <v>251</v>
      </c>
      <c r="B88" s="681"/>
      <c r="C88" s="690">
        <f t="shared" ref="C88:N88" si="126">C85*C87</f>
        <v>0</v>
      </c>
      <c r="D88" s="690">
        <f t="shared" si="126"/>
        <v>0</v>
      </c>
      <c r="E88" s="690">
        <f t="shared" si="126"/>
        <v>0</v>
      </c>
      <c r="F88" s="690">
        <f t="shared" si="126"/>
        <v>0</v>
      </c>
      <c r="G88" s="690">
        <f t="shared" si="126"/>
        <v>0</v>
      </c>
      <c r="H88" s="690">
        <f t="shared" si="126"/>
        <v>0</v>
      </c>
      <c r="I88" s="690">
        <f t="shared" si="126"/>
        <v>0</v>
      </c>
      <c r="J88" s="690">
        <f t="shared" si="126"/>
        <v>0</v>
      </c>
      <c r="K88" s="690">
        <f t="shared" si="126"/>
        <v>0</v>
      </c>
      <c r="L88" s="690">
        <f t="shared" si="126"/>
        <v>0</v>
      </c>
      <c r="M88" s="690">
        <f t="shared" si="126"/>
        <v>0</v>
      </c>
      <c r="N88" s="690">
        <f t="shared" si="126"/>
        <v>0</v>
      </c>
      <c r="O88" s="683">
        <f>SUM(C88:N88)</f>
        <v>0</v>
      </c>
      <c r="P88" s="690">
        <f t="shared" ref="P88:AA88" si="127">P85*P87</f>
        <v>0</v>
      </c>
      <c r="Q88" s="690">
        <f t="shared" si="127"/>
        <v>0</v>
      </c>
      <c r="R88" s="690">
        <f t="shared" si="127"/>
        <v>0</v>
      </c>
      <c r="S88" s="690">
        <f t="shared" si="127"/>
        <v>0</v>
      </c>
      <c r="T88" s="690">
        <f t="shared" si="127"/>
        <v>0</v>
      </c>
      <c r="U88" s="690">
        <f t="shared" si="127"/>
        <v>0</v>
      </c>
      <c r="V88" s="690">
        <f t="shared" si="127"/>
        <v>19.6875</v>
      </c>
      <c r="W88" s="690">
        <f t="shared" si="127"/>
        <v>39.375</v>
      </c>
      <c r="X88" s="690">
        <f t="shared" si="127"/>
        <v>59.0625</v>
      </c>
      <c r="Y88" s="690">
        <f t="shared" si="127"/>
        <v>78.75</v>
      </c>
      <c r="Z88" s="690">
        <f t="shared" si="127"/>
        <v>98.4375</v>
      </c>
      <c r="AA88" s="690">
        <f t="shared" si="127"/>
        <v>118.125</v>
      </c>
      <c r="AB88" s="690">
        <f>SUM(P88:AA88)</f>
        <v>413.4375</v>
      </c>
      <c r="AC88" s="690">
        <f>AC85*AVERAGE(AA87,AC87)</f>
        <v>2976.75</v>
      </c>
      <c r="AD88" s="690">
        <f t="shared" ref="AD88:AJ88" si="128">AD85*AVERAGE(AC87,AD87)</f>
        <v>6965.5949999999993</v>
      </c>
      <c r="AE88" s="690">
        <f t="shared" si="128"/>
        <v>14349.125699999997</v>
      </c>
      <c r="AF88" s="690">
        <f t="shared" si="128"/>
        <v>24664.552730999996</v>
      </c>
      <c r="AG88" s="690">
        <f t="shared" si="128"/>
        <v>32849.931769199997</v>
      </c>
      <c r="AH88" s="690">
        <f t="shared" si="128"/>
        <v>38324.920397399997</v>
      </c>
      <c r="AI88" s="690">
        <f t="shared" si="128"/>
        <v>43799.909025599984</v>
      </c>
      <c r="AJ88" s="690">
        <f t="shared" si="128"/>
        <v>49274.897653799992</v>
      </c>
    </row>
    <row r="89" spans="1:36" s="674" customFormat="1" ht="13.15" customHeight="1" x14ac:dyDescent="0.2">
      <c r="A89" s="680" t="s">
        <v>249</v>
      </c>
      <c r="B89" s="681"/>
      <c r="C89" s="686">
        <v>2.5</v>
      </c>
      <c r="D89" s="686">
        <f t="shared" ref="D89:O89" si="129">C89</f>
        <v>2.5</v>
      </c>
      <c r="E89" s="686">
        <f t="shared" si="129"/>
        <v>2.5</v>
      </c>
      <c r="F89" s="686">
        <f t="shared" si="129"/>
        <v>2.5</v>
      </c>
      <c r="G89" s="686">
        <f t="shared" si="129"/>
        <v>2.5</v>
      </c>
      <c r="H89" s="686">
        <f t="shared" si="129"/>
        <v>2.5</v>
      </c>
      <c r="I89" s="686">
        <f t="shared" si="129"/>
        <v>2.5</v>
      </c>
      <c r="J89" s="686">
        <f t="shared" si="129"/>
        <v>2.5</v>
      </c>
      <c r="K89" s="686">
        <f t="shared" si="129"/>
        <v>2.5</v>
      </c>
      <c r="L89" s="686">
        <f t="shared" si="129"/>
        <v>2.5</v>
      </c>
      <c r="M89" s="686">
        <f t="shared" si="129"/>
        <v>2.5</v>
      </c>
      <c r="N89" s="686">
        <f t="shared" si="129"/>
        <v>2.5</v>
      </c>
      <c r="O89" s="685">
        <f t="shared" si="129"/>
        <v>2.5</v>
      </c>
      <c r="P89" s="686">
        <f>N89</f>
        <v>2.5</v>
      </c>
      <c r="Q89" s="686">
        <f t="shared" ref="Q89:AB89" si="130">P89</f>
        <v>2.5</v>
      </c>
      <c r="R89" s="686">
        <f t="shared" si="130"/>
        <v>2.5</v>
      </c>
      <c r="S89" s="686">
        <f t="shared" si="130"/>
        <v>2.5</v>
      </c>
      <c r="T89" s="686">
        <f t="shared" si="130"/>
        <v>2.5</v>
      </c>
      <c r="U89" s="686">
        <f t="shared" si="130"/>
        <v>2.5</v>
      </c>
      <c r="V89" s="686">
        <f t="shared" si="130"/>
        <v>2.5</v>
      </c>
      <c r="W89" s="686">
        <f t="shared" si="130"/>
        <v>2.5</v>
      </c>
      <c r="X89" s="686">
        <f t="shared" si="130"/>
        <v>2.5</v>
      </c>
      <c r="Y89" s="686">
        <f t="shared" si="130"/>
        <v>2.5</v>
      </c>
      <c r="Z89" s="686">
        <f t="shared" si="130"/>
        <v>2.5</v>
      </c>
      <c r="AA89" s="686">
        <f t="shared" si="130"/>
        <v>2.5</v>
      </c>
      <c r="AB89" s="686">
        <f t="shared" si="130"/>
        <v>2.5</v>
      </c>
      <c r="AC89" s="686">
        <f>AA89</f>
        <v>2.5</v>
      </c>
      <c r="AD89" s="686">
        <f t="shared" ref="AD89:AJ89" si="131">AC89</f>
        <v>2.5</v>
      </c>
      <c r="AE89" s="686">
        <f t="shared" si="131"/>
        <v>2.5</v>
      </c>
      <c r="AF89" s="686">
        <f t="shared" si="131"/>
        <v>2.5</v>
      </c>
      <c r="AG89" s="686">
        <f t="shared" si="131"/>
        <v>2.5</v>
      </c>
      <c r="AH89" s="686">
        <f t="shared" si="131"/>
        <v>2.5</v>
      </c>
      <c r="AI89" s="686">
        <f t="shared" si="131"/>
        <v>2.5</v>
      </c>
      <c r="AJ89" s="686">
        <f t="shared" si="131"/>
        <v>2.5</v>
      </c>
    </row>
    <row r="90" spans="1:36" s="674" customFormat="1" ht="13.15" customHeight="1" x14ac:dyDescent="0.2">
      <c r="A90" s="680" t="s">
        <v>255</v>
      </c>
      <c r="B90" s="681"/>
      <c r="C90" s="690">
        <f t="shared" ref="C90:N90" si="132">C88*C89</f>
        <v>0</v>
      </c>
      <c r="D90" s="690">
        <f t="shared" si="132"/>
        <v>0</v>
      </c>
      <c r="E90" s="690">
        <f t="shared" si="132"/>
        <v>0</v>
      </c>
      <c r="F90" s="690">
        <f t="shared" si="132"/>
        <v>0</v>
      </c>
      <c r="G90" s="690">
        <f t="shared" si="132"/>
        <v>0</v>
      </c>
      <c r="H90" s="690">
        <f t="shared" si="132"/>
        <v>0</v>
      </c>
      <c r="I90" s="690">
        <f t="shared" si="132"/>
        <v>0</v>
      </c>
      <c r="J90" s="690">
        <f t="shared" si="132"/>
        <v>0</v>
      </c>
      <c r="K90" s="690">
        <f t="shared" si="132"/>
        <v>0</v>
      </c>
      <c r="L90" s="690">
        <f t="shared" si="132"/>
        <v>0</v>
      </c>
      <c r="M90" s="690">
        <f t="shared" si="132"/>
        <v>0</v>
      </c>
      <c r="N90" s="690">
        <f t="shared" si="132"/>
        <v>0</v>
      </c>
      <c r="O90" s="691">
        <f>SUM(C90:N90)</f>
        <v>0</v>
      </c>
      <c r="P90" s="690">
        <f t="shared" ref="P90:AA90" si="133">P88*P89</f>
        <v>0</v>
      </c>
      <c r="Q90" s="690">
        <f t="shared" si="133"/>
        <v>0</v>
      </c>
      <c r="R90" s="690">
        <f t="shared" si="133"/>
        <v>0</v>
      </c>
      <c r="S90" s="690">
        <f t="shared" si="133"/>
        <v>0</v>
      </c>
      <c r="T90" s="690">
        <f t="shared" si="133"/>
        <v>0</v>
      </c>
      <c r="U90" s="690">
        <f t="shared" si="133"/>
        <v>0</v>
      </c>
      <c r="V90" s="690">
        <f t="shared" si="133"/>
        <v>49.21875</v>
      </c>
      <c r="W90" s="690">
        <f t="shared" si="133"/>
        <v>98.4375</v>
      </c>
      <c r="X90" s="690">
        <f t="shared" si="133"/>
        <v>147.65625</v>
      </c>
      <c r="Y90" s="690">
        <f t="shared" si="133"/>
        <v>196.875</v>
      </c>
      <c r="Z90" s="690">
        <f t="shared" si="133"/>
        <v>246.09375</v>
      </c>
      <c r="AA90" s="690">
        <f t="shared" si="133"/>
        <v>295.3125</v>
      </c>
      <c r="AB90" s="691">
        <f>SUM(P90:AA90)</f>
        <v>1033.59375</v>
      </c>
      <c r="AC90" s="690">
        <f t="shared" ref="AC90:AJ90" si="134">AC88*AC89</f>
        <v>7441.875</v>
      </c>
      <c r="AD90" s="690">
        <f t="shared" si="134"/>
        <v>17413.987499999999</v>
      </c>
      <c r="AE90" s="690">
        <f t="shared" si="134"/>
        <v>35872.814249999996</v>
      </c>
      <c r="AF90" s="690">
        <f t="shared" si="134"/>
        <v>61661.381827499994</v>
      </c>
      <c r="AG90" s="690">
        <f t="shared" si="134"/>
        <v>82124.829422999988</v>
      </c>
      <c r="AH90" s="690">
        <f t="shared" si="134"/>
        <v>95812.300993499986</v>
      </c>
      <c r="AI90" s="690">
        <f t="shared" si="134"/>
        <v>109499.77256399996</v>
      </c>
      <c r="AJ90" s="690">
        <f t="shared" si="134"/>
        <v>123187.24413449998</v>
      </c>
    </row>
    <row r="92" spans="1:36" s="674" customFormat="1" ht="13.15" customHeight="1" x14ac:dyDescent="0.2">
      <c r="A92" s="680" t="s">
        <v>253</v>
      </c>
      <c r="B92" s="681"/>
      <c r="C92" s="689">
        <v>0</v>
      </c>
      <c r="D92" s="689">
        <v>0</v>
      </c>
      <c r="E92" s="689">
        <v>0</v>
      </c>
      <c r="F92" s="689">
        <v>0</v>
      </c>
      <c r="G92" s="689">
        <v>0</v>
      </c>
      <c r="H92" s="689">
        <v>0</v>
      </c>
      <c r="I92" s="689">
        <v>0</v>
      </c>
      <c r="J92" s="689">
        <v>0</v>
      </c>
      <c r="K92" s="689">
        <v>0</v>
      </c>
      <c r="L92" s="689">
        <v>0</v>
      </c>
      <c r="M92" s="689">
        <v>0</v>
      </c>
      <c r="N92" s="689">
        <v>0</v>
      </c>
      <c r="O92" s="690">
        <f>N92</f>
        <v>0</v>
      </c>
      <c r="P92" s="689">
        <f>N92</f>
        <v>0</v>
      </c>
      <c r="Q92" s="689">
        <f>P92</f>
        <v>0</v>
      </c>
      <c r="R92" s="689">
        <f t="shared" ref="R92:AA92" si="135">Q92</f>
        <v>0</v>
      </c>
      <c r="S92" s="689">
        <f t="shared" si="135"/>
        <v>0</v>
      </c>
      <c r="T92" s="689">
        <f t="shared" si="135"/>
        <v>0</v>
      </c>
      <c r="U92" s="689">
        <f t="shared" si="135"/>
        <v>0</v>
      </c>
      <c r="V92" s="689">
        <f t="shared" si="135"/>
        <v>0</v>
      </c>
      <c r="W92" s="689">
        <f t="shared" si="135"/>
        <v>0</v>
      </c>
      <c r="X92" s="689">
        <f t="shared" si="135"/>
        <v>0</v>
      </c>
      <c r="Y92" s="689">
        <f t="shared" si="135"/>
        <v>0</v>
      </c>
      <c r="Z92" s="689">
        <f t="shared" si="135"/>
        <v>0</v>
      </c>
      <c r="AA92" s="689">
        <f t="shared" si="135"/>
        <v>0</v>
      </c>
      <c r="AB92" s="690">
        <f>AA92</f>
        <v>0</v>
      </c>
      <c r="AC92" s="689">
        <f>AA92</f>
        <v>0</v>
      </c>
      <c r="AD92" s="689">
        <f>AC92</f>
        <v>0</v>
      </c>
      <c r="AE92" s="689">
        <f t="shared" ref="AE92:AJ92" si="136">AD92</f>
        <v>0</v>
      </c>
      <c r="AF92" s="689">
        <f t="shared" si="136"/>
        <v>0</v>
      </c>
      <c r="AG92" s="689">
        <f t="shared" si="136"/>
        <v>0</v>
      </c>
      <c r="AH92" s="689">
        <f t="shared" si="136"/>
        <v>0</v>
      </c>
      <c r="AI92" s="689">
        <f t="shared" si="136"/>
        <v>0</v>
      </c>
      <c r="AJ92" s="689">
        <f t="shared" si="136"/>
        <v>0</v>
      </c>
    </row>
    <row r="93" spans="1:36" s="674" customFormat="1" ht="13.15" customHeight="1" x14ac:dyDescent="0.2">
      <c r="A93" s="680" t="s">
        <v>252</v>
      </c>
      <c r="B93" s="681"/>
      <c r="C93" s="689">
        <f>100/12</f>
        <v>8.3333333333333339</v>
      </c>
      <c r="D93" s="689">
        <f t="shared" ref="D93:N93" si="137">100/12</f>
        <v>8.3333333333333339</v>
      </c>
      <c r="E93" s="689">
        <f t="shared" si="137"/>
        <v>8.3333333333333339</v>
      </c>
      <c r="F93" s="689">
        <f t="shared" si="137"/>
        <v>8.3333333333333339</v>
      </c>
      <c r="G93" s="689">
        <f t="shared" si="137"/>
        <v>8.3333333333333339</v>
      </c>
      <c r="H93" s="689">
        <f t="shared" si="137"/>
        <v>8.3333333333333339</v>
      </c>
      <c r="I93" s="689">
        <f t="shared" si="137"/>
        <v>8.3333333333333339</v>
      </c>
      <c r="J93" s="689">
        <f t="shared" si="137"/>
        <v>8.3333333333333339</v>
      </c>
      <c r="K93" s="689">
        <f t="shared" si="137"/>
        <v>8.3333333333333339</v>
      </c>
      <c r="L93" s="689">
        <f t="shared" si="137"/>
        <v>8.3333333333333339</v>
      </c>
      <c r="M93" s="689">
        <f t="shared" si="137"/>
        <v>8.3333333333333339</v>
      </c>
      <c r="N93" s="689">
        <f t="shared" si="137"/>
        <v>8.3333333333333339</v>
      </c>
      <c r="O93" s="683">
        <f>SUM(C93:N93)</f>
        <v>99.999999999999986</v>
      </c>
      <c r="P93" s="689">
        <f t="shared" ref="P93:AA93" si="138">100/12</f>
        <v>8.3333333333333339</v>
      </c>
      <c r="Q93" s="689">
        <f t="shared" si="138"/>
        <v>8.3333333333333339</v>
      </c>
      <c r="R93" s="689">
        <f t="shared" si="138"/>
        <v>8.3333333333333339</v>
      </c>
      <c r="S93" s="689">
        <f t="shared" si="138"/>
        <v>8.3333333333333339</v>
      </c>
      <c r="T93" s="689">
        <f t="shared" si="138"/>
        <v>8.3333333333333339</v>
      </c>
      <c r="U93" s="689">
        <f t="shared" si="138"/>
        <v>8.3333333333333339</v>
      </c>
      <c r="V93" s="689">
        <f t="shared" si="138"/>
        <v>8.3333333333333339</v>
      </c>
      <c r="W93" s="689">
        <f t="shared" si="138"/>
        <v>8.3333333333333339</v>
      </c>
      <c r="X93" s="689">
        <f t="shared" si="138"/>
        <v>8.3333333333333339</v>
      </c>
      <c r="Y93" s="689">
        <f t="shared" si="138"/>
        <v>8.3333333333333339</v>
      </c>
      <c r="Z93" s="689">
        <f t="shared" si="138"/>
        <v>8.3333333333333339</v>
      </c>
      <c r="AA93" s="689">
        <f t="shared" si="138"/>
        <v>8.3333333333333339</v>
      </c>
      <c r="AB93" s="683">
        <f>SUM(P93:AA93)</f>
        <v>99.999999999999986</v>
      </c>
      <c r="AC93" s="689">
        <v>100</v>
      </c>
      <c r="AD93" s="689">
        <v>100</v>
      </c>
      <c r="AE93" s="689">
        <v>100</v>
      </c>
      <c r="AF93" s="689">
        <v>100</v>
      </c>
      <c r="AG93" s="689">
        <v>100</v>
      </c>
      <c r="AH93" s="689">
        <v>100</v>
      </c>
      <c r="AI93" s="689">
        <v>100</v>
      </c>
      <c r="AJ93" s="689">
        <v>100</v>
      </c>
    </row>
    <row r="94" spans="1:36" s="674" customFormat="1" ht="13.15" customHeight="1" x14ac:dyDescent="0.2">
      <c r="A94" s="680" t="s">
        <v>254</v>
      </c>
      <c r="B94" s="681"/>
      <c r="C94" s="690">
        <f t="shared" ref="C94:N94" si="139">C92*C93</f>
        <v>0</v>
      </c>
      <c r="D94" s="690">
        <f t="shared" si="139"/>
        <v>0</v>
      </c>
      <c r="E94" s="690">
        <f t="shared" si="139"/>
        <v>0</v>
      </c>
      <c r="F94" s="690">
        <f t="shared" si="139"/>
        <v>0</v>
      </c>
      <c r="G94" s="690">
        <f t="shared" si="139"/>
        <v>0</v>
      </c>
      <c r="H94" s="690">
        <f t="shared" si="139"/>
        <v>0</v>
      </c>
      <c r="I94" s="690">
        <f t="shared" si="139"/>
        <v>0</v>
      </c>
      <c r="J94" s="690">
        <f t="shared" si="139"/>
        <v>0</v>
      </c>
      <c r="K94" s="690">
        <f t="shared" si="139"/>
        <v>0</v>
      </c>
      <c r="L94" s="690">
        <f t="shared" si="139"/>
        <v>0</v>
      </c>
      <c r="M94" s="690">
        <f t="shared" si="139"/>
        <v>0</v>
      </c>
      <c r="N94" s="690">
        <f t="shared" si="139"/>
        <v>0</v>
      </c>
      <c r="O94" s="683">
        <f>SUM(C94:N94)</f>
        <v>0</v>
      </c>
      <c r="P94" s="690">
        <f t="shared" ref="P94:AA94" si="140">P92*P93</f>
        <v>0</v>
      </c>
      <c r="Q94" s="690">
        <f t="shared" si="140"/>
        <v>0</v>
      </c>
      <c r="R94" s="690">
        <f t="shared" si="140"/>
        <v>0</v>
      </c>
      <c r="S94" s="690">
        <f t="shared" si="140"/>
        <v>0</v>
      </c>
      <c r="T94" s="690">
        <f t="shared" si="140"/>
        <v>0</v>
      </c>
      <c r="U94" s="690">
        <f t="shared" si="140"/>
        <v>0</v>
      </c>
      <c r="V94" s="690">
        <f t="shared" si="140"/>
        <v>0</v>
      </c>
      <c r="W94" s="690">
        <f t="shared" si="140"/>
        <v>0</v>
      </c>
      <c r="X94" s="690">
        <f t="shared" si="140"/>
        <v>0</v>
      </c>
      <c r="Y94" s="690">
        <f t="shared" si="140"/>
        <v>0</v>
      </c>
      <c r="Z94" s="690">
        <f t="shared" si="140"/>
        <v>0</v>
      </c>
      <c r="AA94" s="690">
        <f t="shared" si="140"/>
        <v>0</v>
      </c>
      <c r="AB94" s="690">
        <f>SUM(P94:AA94)</f>
        <v>0</v>
      </c>
      <c r="AC94" s="690">
        <f t="shared" ref="AC94:AJ94" si="141">AC92*AC93</f>
        <v>0</v>
      </c>
      <c r="AD94" s="690">
        <f t="shared" si="141"/>
        <v>0</v>
      </c>
      <c r="AE94" s="690">
        <f t="shared" si="141"/>
        <v>0</v>
      </c>
      <c r="AF94" s="690">
        <f t="shared" si="141"/>
        <v>0</v>
      </c>
      <c r="AG94" s="690">
        <f t="shared" si="141"/>
        <v>0</v>
      </c>
      <c r="AH94" s="690">
        <f t="shared" si="141"/>
        <v>0</v>
      </c>
      <c r="AI94" s="690">
        <f t="shared" si="141"/>
        <v>0</v>
      </c>
      <c r="AJ94" s="690">
        <f t="shared" si="141"/>
        <v>0</v>
      </c>
    </row>
    <row r="95" spans="1:36" s="674" customFormat="1" ht="13.15" customHeight="1" x14ac:dyDescent="0.2">
      <c r="A95" s="680" t="s">
        <v>249</v>
      </c>
      <c r="B95" s="681"/>
      <c r="C95" s="686">
        <f>C89</f>
        <v>2.5</v>
      </c>
      <c r="D95" s="686">
        <f t="shared" ref="D95:AJ95" si="142">D89</f>
        <v>2.5</v>
      </c>
      <c r="E95" s="686">
        <f t="shared" si="142"/>
        <v>2.5</v>
      </c>
      <c r="F95" s="686">
        <f t="shared" si="142"/>
        <v>2.5</v>
      </c>
      <c r="G95" s="686">
        <f t="shared" si="142"/>
        <v>2.5</v>
      </c>
      <c r="H95" s="686">
        <f t="shared" si="142"/>
        <v>2.5</v>
      </c>
      <c r="I95" s="686">
        <f t="shared" si="142"/>
        <v>2.5</v>
      </c>
      <c r="J95" s="686">
        <f t="shared" si="142"/>
        <v>2.5</v>
      </c>
      <c r="K95" s="686">
        <f t="shared" si="142"/>
        <v>2.5</v>
      </c>
      <c r="L95" s="686">
        <f t="shared" si="142"/>
        <v>2.5</v>
      </c>
      <c r="M95" s="686">
        <f t="shared" si="142"/>
        <v>2.5</v>
      </c>
      <c r="N95" s="686">
        <f t="shared" si="142"/>
        <v>2.5</v>
      </c>
      <c r="O95" s="686">
        <f t="shared" si="142"/>
        <v>2.5</v>
      </c>
      <c r="P95" s="686">
        <f t="shared" si="142"/>
        <v>2.5</v>
      </c>
      <c r="Q95" s="686">
        <f t="shared" si="142"/>
        <v>2.5</v>
      </c>
      <c r="R95" s="686">
        <f t="shared" si="142"/>
        <v>2.5</v>
      </c>
      <c r="S95" s="686">
        <f t="shared" si="142"/>
        <v>2.5</v>
      </c>
      <c r="T95" s="686">
        <f t="shared" si="142"/>
        <v>2.5</v>
      </c>
      <c r="U95" s="686">
        <f t="shared" si="142"/>
        <v>2.5</v>
      </c>
      <c r="V95" s="686">
        <f t="shared" si="142"/>
        <v>2.5</v>
      </c>
      <c r="W95" s="686">
        <f t="shared" si="142"/>
        <v>2.5</v>
      </c>
      <c r="X95" s="686">
        <f t="shared" si="142"/>
        <v>2.5</v>
      </c>
      <c r="Y95" s="686">
        <f t="shared" si="142"/>
        <v>2.5</v>
      </c>
      <c r="Z95" s="686">
        <f t="shared" si="142"/>
        <v>2.5</v>
      </c>
      <c r="AA95" s="686">
        <f t="shared" si="142"/>
        <v>2.5</v>
      </c>
      <c r="AB95" s="686">
        <f t="shared" si="142"/>
        <v>2.5</v>
      </c>
      <c r="AC95" s="686">
        <f t="shared" si="142"/>
        <v>2.5</v>
      </c>
      <c r="AD95" s="686">
        <f t="shared" si="142"/>
        <v>2.5</v>
      </c>
      <c r="AE95" s="686">
        <f t="shared" si="142"/>
        <v>2.5</v>
      </c>
      <c r="AF95" s="686">
        <f t="shared" si="142"/>
        <v>2.5</v>
      </c>
      <c r="AG95" s="686">
        <f t="shared" si="142"/>
        <v>2.5</v>
      </c>
      <c r="AH95" s="686">
        <f t="shared" si="142"/>
        <v>2.5</v>
      </c>
      <c r="AI95" s="686">
        <f t="shared" si="142"/>
        <v>2.5</v>
      </c>
      <c r="AJ95" s="686">
        <f t="shared" si="142"/>
        <v>2.5</v>
      </c>
    </row>
    <row r="96" spans="1:36" s="674" customFormat="1" ht="13.15" customHeight="1" x14ac:dyDescent="0.2">
      <c r="A96" s="680" t="s">
        <v>255</v>
      </c>
      <c r="B96" s="681"/>
      <c r="C96" s="690">
        <f t="shared" ref="C96:N96" si="143">C94*C95</f>
        <v>0</v>
      </c>
      <c r="D96" s="690">
        <f t="shared" si="143"/>
        <v>0</v>
      </c>
      <c r="E96" s="690">
        <f t="shared" si="143"/>
        <v>0</v>
      </c>
      <c r="F96" s="690">
        <f t="shared" si="143"/>
        <v>0</v>
      </c>
      <c r="G96" s="690">
        <f t="shared" si="143"/>
        <v>0</v>
      </c>
      <c r="H96" s="690">
        <f t="shared" si="143"/>
        <v>0</v>
      </c>
      <c r="I96" s="690">
        <f t="shared" si="143"/>
        <v>0</v>
      </c>
      <c r="J96" s="690">
        <f t="shared" si="143"/>
        <v>0</v>
      </c>
      <c r="K96" s="690">
        <f t="shared" si="143"/>
        <v>0</v>
      </c>
      <c r="L96" s="690">
        <f t="shared" si="143"/>
        <v>0</v>
      </c>
      <c r="M96" s="690">
        <f t="shared" si="143"/>
        <v>0</v>
      </c>
      <c r="N96" s="690">
        <f t="shared" si="143"/>
        <v>0</v>
      </c>
      <c r="O96" s="691">
        <f>SUM(C96:N96)</f>
        <v>0</v>
      </c>
      <c r="P96" s="690">
        <f t="shared" ref="P96:AA96" si="144">P94*P95</f>
        <v>0</v>
      </c>
      <c r="Q96" s="690">
        <f t="shared" si="144"/>
        <v>0</v>
      </c>
      <c r="R96" s="690">
        <f t="shared" si="144"/>
        <v>0</v>
      </c>
      <c r="S96" s="690">
        <f t="shared" si="144"/>
        <v>0</v>
      </c>
      <c r="T96" s="690">
        <f t="shared" si="144"/>
        <v>0</v>
      </c>
      <c r="U96" s="690">
        <f t="shared" si="144"/>
        <v>0</v>
      </c>
      <c r="V96" s="690">
        <f t="shared" si="144"/>
        <v>0</v>
      </c>
      <c r="W96" s="690">
        <f t="shared" si="144"/>
        <v>0</v>
      </c>
      <c r="X96" s="690">
        <f t="shared" si="144"/>
        <v>0</v>
      </c>
      <c r="Y96" s="690">
        <f t="shared" si="144"/>
        <v>0</v>
      </c>
      <c r="Z96" s="690">
        <f t="shared" si="144"/>
        <v>0</v>
      </c>
      <c r="AA96" s="690">
        <f t="shared" si="144"/>
        <v>0</v>
      </c>
      <c r="AB96" s="691">
        <f>SUM(P96:AA96)</f>
        <v>0</v>
      </c>
      <c r="AC96" s="690">
        <f t="shared" ref="AC96:AJ96" si="145">AC94*AC95</f>
        <v>0</v>
      </c>
      <c r="AD96" s="690">
        <f t="shared" si="145"/>
        <v>0</v>
      </c>
      <c r="AE96" s="690">
        <f t="shared" si="145"/>
        <v>0</v>
      </c>
      <c r="AF96" s="690">
        <f t="shared" si="145"/>
        <v>0</v>
      </c>
      <c r="AG96" s="690">
        <f t="shared" si="145"/>
        <v>0</v>
      </c>
      <c r="AH96" s="690">
        <f t="shared" si="145"/>
        <v>0</v>
      </c>
      <c r="AI96" s="690">
        <f t="shared" si="145"/>
        <v>0</v>
      </c>
      <c r="AJ96" s="690">
        <f t="shared" si="145"/>
        <v>0</v>
      </c>
    </row>
    <row r="97" spans="1:37" s="674" customFormat="1" ht="13.15" customHeight="1" x14ac:dyDescent="0.2">
      <c r="B97" s="681"/>
      <c r="C97" s="682"/>
      <c r="D97" s="682"/>
      <c r="E97" s="682"/>
      <c r="F97" s="682"/>
      <c r="G97" s="682"/>
      <c r="H97" s="682"/>
      <c r="I97" s="682"/>
      <c r="J97" s="682"/>
      <c r="K97" s="682"/>
      <c r="L97" s="682"/>
      <c r="M97" s="682"/>
      <c r="N97" s="682"/>
      <c r="O97" s="683"/>
      <c r="P97" s="682"/>
      <c r="Q97" s="682"/>
      <c r="R97" s="682"/>
      <c r="S97" s="682"/>
      <c r="T97" s="682"/>
      <c r="U97" s="682"/>
      <c r="V97" s="682"/>
      <c r="W97" s="682"/>
      <c r="X97" s="682"/>
      <c r="Y97" s="682"/>
      <c r="Z97" s="682"/>
      <c r="AA97" s="682"/>
      <c r="AB97" s="683"/>
      <c r="AC97" s="683"/>
      <c r="AD97" s="683"/>
      <c r="AE97" s="683"/>
    </row>
    <row r="98" spans="1:37" s="674" customFormat="1" ht="13.15" customHeight="1" x14ac:dyDescent="0.2">
      <c r="A98" s="680" t="s">
        <v>256</v>
      </c>
      <c r="B98" s="681"/>
      <c r="C98" s="689">
        <v>0</v>
      </c>
      <c r="D98" s="689">
        <v>0</v>
      </c>
      <c r="E98" s="689">
        <v>0</v>
      </c>
      <c r="F98" s="689">
        <v>0</v>
      </c>
      <c r="G98" s="689">
        <v>0</v>
      </c>
      <c r="H98" s="689">
        <v>0</v>
      </c>
      <c r="I98" s="689">
        <v>0</v>
      </c>
      <c r="J98" s="689">
        <v>0</v>
      </c>
      <c r="K98" s="689">
        <v>0</v>
      </c>
      <c r="L98" s="689">
        <v>0</v>
      </c>
      <c r="M98" s="689">
        <v>0</v>
      </c>
      <c r="N98" s="689">
        <v>0</v>
      </c>
      <c r="O98" s="690">
        <f>N98</f>
        <v>0</v>
      </c>
      <c r="P98" s="689">
        <f>N98</f>
        <v>0</v>
      </c>
      <c r="Q98" s="689">
        <f>P98</f>
        <v>0</v>
      </c>
      <c r="R98" s="689">
        <f t="shared" ref="R98:AA98" si="146">Q98</f>
        <v>0</v>
      </c>
      <c r="S98" s="689">
        <f t="shared" si="146"/>
        <v>0</v>
      </c>
      <c r="T98" s="689">
        <f t="shared" si="146"/>
        <v>0</v>
      </c>
      <c r="U98" s="689">
        <f t="shared" si="146"/>
        <v>0</v>
      </c>
      <c r="V98" s="689">
        <f t="shared" si="146"/>
        <v>0</v>
      </c>
      <c r="W98" s="689">
        <f t="shared" si="146"/>
        <v>0</v>
      </c>
      <c r="X98" s="689">
        <f t="shared" si="146"/>
        <v>0</v>
      </c>
      <c r="Y98" s="689">
        <f t="shared" si="146"/>
        <v>0</v>
      </c>
      <c r="Z98" s="689">
        <f t="shared" si="146"/>
        <v>0</v>
      </c>
      <c r="AA98" s="689">
        <f t="shared" si="146"/>
        <v>0</v>
      </c>
      <c r="AB98" s="690">
        <f>AA98</f>
        <v>0</v>
      </c>
      <c r="AC98" s="689">
        <f>AA98</f>
        <v>0</v>
      </c>
      <c r="AD98" s="689">
        <f>AC98</f>
        <v>0</v>
      </c>
      <c r="AE98" s="689">
        <f t="shared" ref="AE98:AJ98" si="147">AD98</f>
        <v>0</v>
      </c>
      <c r="AF98" s="689">
        <f t="shared" si="147"/>
        <v>0</v>
      </c>
      <c r="AG98" s="689">
        <f t="shared" si="147"/>
        <v>0</v>
      </c>
      <c r="AH98" s="689">
        <f t="shared" si="147"/>
        <v>0</v>
      </c>
      <c r="AI98" s="689">
        <f t="shared" si="147"/>
        <v>0</v>
      </c>
      <c r="AJ98" s="689">
        <f t="shared" si="147"/>
        <v>0</v>
      </c>
    </row>
    <row r="99" spans="1:37" s="674" customFormat="1" ht="13.15" customHeight="1" x14ac:dyDescent="0.2">
      <c r="A99" s="680" t="s">
        <v>252</v>
      </c>
      <c r="B99" s="681"/>
      <c r="C99" s="689">
        <f>300/12</f>
        <v>25</v>
      </c>
      <c r="D99" s="689">
        <f t="shared" ref="D99:N99" si="148">300/12</f>
        <v>25</v>
      </c>
      <c r="E99" s="689">
        <f t="shared" si="148"/>
        <v>25</v>
      </c>
      <c r="F99" s="689">
        <f t="shared" si="148"/>
        <v>25</v>
      </c>
      <c r="G99" s="689">
        <f t="shared" si="148"/>
        <v>25</v>
      </c>
      <c r="H99" s="689">
        <f t="shared" si="148"/>
        <v>25</v>
      </c>
      <c r="I99" s="689">
        <f t="shared" si="148"/>
        <v>25</v>
      </c>
      <c r="J99" s="689">
        <f t="shared" si="148"/>
        <v>25</v>
      </c>
      <c r="K99" s="689">
        <f t="shared" si="148"/>
        <v>25</v>
      </c>
      <c r="L99" s="689">
        <f t="shared" si="148"/>
        <v>25</v>
      </c>
      <c r="M99" s="689">
        <f t="shared" si="148"/>
        <v>25</v>
      </c>
      <c r="N99" s="689">
        <f t="shared" si="148"/>
        <v>25</v>
      </c>
      <c r="O99" s="683">
        <f>SUM(C99:N99)</f>
        <v>300</v>
      </c>
      <c r="P99" s="689">
        <f>300/12</f>
        <v>25</v>
      </c>
      <c r="Q99" s="689">
        <f t="shared" ref="Q99:AA99" si="149">300/12</f>
        <v>25</v>
      </c>
      <c r="R99" s="689">
        <f t="shared" si="149"/>
        <v>25</v>
      </c>
      <c r="S99" s="689">
        <f t="shared" si="149"/>
        <v>25</v>
      </c>
      <c r="T99" s="689">
        <f t="shared" si="149"/>
        <v>25</v>
      </c>
      <c r="U99" s="689">
        <f t="shared" si="149"/>
        <v>25</v>
      </c>
      <c r="V99" s="689">
        <f t="shared" si="149"/>
        <v>25</v>
      </c>
      <c r="W99" s="689">
        <f t="shared" si="149"/>
        <v>25</v>
      </c>
      <c r="X99" s="689">
        <f t="shared" si="149"/>
        <v>25</v>
      </c>
      <c r="Y99" s="689">
        <f t="shared" si="149"/>
        <v>25</v>
      </c>
      <c r="Z99" s="689">
        <f t="shared" si="149"/>
        <v>25</v>
      </c>
      <c r="AA99" s="689">
        <f t="shared" si="149"/>
        <v>25</v>
      </c>
      <c r="AB99" s="683">
        <f>SUM(P99:AA99)</f>
        <v>300</v>
      </c>
      <c r="AC99" s="689">
        <v>300</v>
      </c>
      <c r="AD99" s="689">
        <v>300</v>
      </c>
      <c r="AE99" s="689">
        <v>300</v>
      </c>
      <c r="AF99" s="689">
        <v>300</v>
      </c>
      <c r="AG99" s="689">
        <v>300</v>
      </c>
      <c r="AH99" s="689">
        <v>300</v>
      </c>
      <c r="AI99" s="689">
        <v>300</v>
      </c>
      <c r="AJ99" s="689">
        <v>300</v>
      </c>
    </row>
    <row r="100" spans="1:37" s="674" customFormat="1" ht="13.15" customHeight="1" x14ac:dyDescent="0.2">
      <c r="A100" s="680" t="s">
        <v>254</v>
      </c>
      <c r="B100" s="681"/>
      <c r="C100" s="690">
        <f t="shared" ref="C100:N100" si="150">C98*C99</f>
        <v>0</v>
      </c>
      <c r="D100" s="690">
        <f t="shared" si="150"/>
        <v>0</v>
      </c>
      <c r="E100" s="690">
        <f t="shared" si="150"/>
        <v>0</v>
      </c>
      <c r="F100" s="690">
        <f t="shared" si="150"/>
        <v>0</v>
      </c>
      <c r="G100" s="690">
        <f t="shared" si="150"/>
        <v>0</v>
      </c>
      <c r="H100" s="690">
        <f t="shared" si="150"/>
        <v>0</v>
      </c>
      <c r="I100" s="690">
        <f t="shared" si="150"/>
        <v>0</v>
      </c>
      <c r="J100" s="690">
        <f t="shared" si="150"/>
        <v>0</v>
      </c>
      <c r="K100" s="690">
        <f t="shared" si="150"/>
        <v>0</v>
      </c>
      <c r="L100" s="690">
        <f t="shared" si="150"/>
        <v>0</v>
      </c>
      <c r="M100" s="690">
        <f t="shared" si="150"/>
        <v>0</v>
      </c>
      <c r="N100" s="690">
        <f t="shared" si="150"/>
        <v>0</v>
      </c>
      <c r="O100" s="683">
        <f>SUM(C100:N100)</f>
        <v>0</v>
      </c>
      <c r="P100" s="690">
        <f t="shared" ref="P100:AA100" si="151">P98*P99</f>
        <v>0</v>
      </c>
      <c r="Q100" s="690">
        <f t="shared" si="151"/>
        <v>0</v>
      </c>
      <c r="R100" s="690">
        <f t="shared" si="151"/>
        <v>0</v>
      </c>
      <c r="S100" s="690">
        <f t="shared" si="151"/>
        <v>0</v>
      </c>
      <c r="T100" s="690">
        <f t="shared" si="151"/>
        <v>0</v>
      </c>
      <c r="U100" s="690">
        <f t="shared" si="151"/>
        <v>0</v>
      </c>
      <c r="V100" s="690">
        <f t="shared" si="151"/>
        <v>0</v>
      </c>
      <c r="W100" s="690">
        <f t="shared" si="151"/>
        <v>0</v>
      </c>
      <c r="X100" s="690">
        <f t="shared" si="151"/>
        <v>0</v>
      </c>
      <c r="Y100" s="690">
        <f t="shared" si="151"/>
        <v>0</v>
      </c>
      <c r="Z100" s="690">
        <f t="shared" si="151"/>
        <v>0</v>
      </c>
      <c r="AA100" s="690">
        <f t="shared" si="151"/>
        <v>0</v>
      </c>
      <c r="AB100" s="683">
        <f>SUM(P100:AA100)</f>
        <v>0</v>
      </c>
      <c r="AC100" s="690">
        <f t="shared" ref="AC100:AJ100" si="152">AC98*AC99</f>
        <v>0</v>
      </c>
      <c r="AD100" s="690">
        <f t="shared" si="152"/>
        <v>0</v>
      </c>
      <c r="AE100" s="690">
        <f t="shared" si="152"/>
        <v>0</v>
      </c>
      <c r="AF100" s="690">
        <f t="shared" si="152"/>
        <v>0</v>
      </c>
      <c r="AG100" s="690">
        <f t="shared" si="152"/>
        <v>0</v>
      </c>
      <c r="AH100" s="690">
        <f t="shared" si="152"/>
        <v>0</v>
      </c>
      <c r="AI100" s="690">
        <f t="shared" si="152"/>
        <v>0</v>
      </c>
      <c r="AJ100" s="690">
        <f t="shared" si="152"/>
        <v>0</v>
      </c>
    </row>
    <row r="101" spans="1:37" s="674" customFormat="1" ht="13.15" customHeight="1" x14ac:dyDescent="0.2">
      <c r="A101" s="680" t="s">
        <v>249</v>
      </c>
      <c r="B101" s="681"/>
      <c r="C101" s="686">
        <f>C89</f>
        <v>2.5</v>
      </c>
      <c r="D101" s="686">
        <f t="shared" ref="D101:AJ101" si="153">D89</f>
        <v>2.5</v>
      </c>
      <c r="E101" s="686">
        <f t="shared" si="153"/>
        <v>2.5</v>
      </c>
      <c r="F101" s="686">
        <f t="shared" si="153"/>
        <v>2.5</v>
      </c>
      <c r="G101" s="686">
        <f t="shared" si="153"/>
        <v>2.5</v>
      </c>
      <c r="H101" s="686">
        <f t="shared" si="153"/>
        <v>2.5</v>
      </c>
      <c r="I101" s="686">
        <f t="shared" si="153"/>
        <v>2.5</v>
      </c>
      <c r="J101" s="686">
        <f t="shared" si="153"/>
        <v>2.5</v>
      </c>
      <c r="K101" s="686">
        <f t="shared" si="153"/>
        <v>2.5</v>
      </c>
      <c r="L101" s="686">
        <f t="shared" si="153"/>
        <v>2.5</v>
      </c>
      <c r="M101" s="686">
        <f t="shared" si="153"/>
        <v>2.5</v>
      </c>
      <c r="N101" s="686">
        <f t="shared" si="153"/>
        <v>2.5</v>
      </c>
      <c r="O101" s="686">
        <f t="shared" si="153"/>
        <v>2.5</v>
      </c>
      <c r="P101" s="686">
        <f t="shared" si="153"/>
        <v>2.5</v>
      </c>
      <c r="Q101" s="686">
        <f t="shared" si="153"/>
        <v>2.5</v>
      </c>
      <c r="R101" s="686">
        <f t="shared" si="153"/>
        <v>2.5</v>
      </c>
      <c r="S101" s="686">
        <f t="shared" si="153"/>
        <v>2.5</v>
      </c>
      <c r="T101" s="686">
        <f t="shared" si="153"/>
        <v>2.5</v>
      </c>
      <c r="U101" s="686">
        <f t="shared" si="153"/>
        <v>2.5</v>
      </c>
      <c r="V101" s="686">
        <f t="shared" si="153"/>
        <v>2.5</v>
      </c>
      <c r="W101" s="686">
        <f t="shared" si="153"/>
        <v>2.5</v>
      </c>
      <c r="X101" s="686">
        <f t="shared" si="153"/>
        <v>2.5</v>
      </c>
      <c r="Y101" s="686">
        <f t="shared" si="153"/>
        <v>2.5</v>
      </c>
      <c r="Z101" s="686">
        <f t="shared" si="153"/>
        <v>2.5</v>
      </c>
      <c r="AA101" s="686">
        <f t="shared" si="153"/>
        <v>2.5</v>
      </c>
      <c r="AB101" s="686">
        <f t="shared" si="153"/>
        <v>2.5</v>
      </c>
      <c r="AC101" s="686">
        <f t="shared" si="153"/>
        <v>2.5</v>
      </c>
      <c r="AD101" s="686">
        <f t="shared" si="153"/>
        <v>2.5</v>
      </c>
      <c r="AE101" s="686">
        <f t="shared" si="153"/>
        <v>2.5</v>
      </c>
      <c r="AF101" s="686">
        <f t="shared" si="153"/>
        <v>2.5</v>
      </c>
      <c r="AG101" s="686">
        <f t="shared" si="153"/>
        <v>2.5</v>
      </c>
      <c r="AH101" s="686">
        <f t="shared" si="153"/>
        <v>2.5</v>
      </c>
      <c r="AI101" s="686">
        <f t="shared" si="153"/>
        <v>2.5</v>
      </c>
      <c r="AJ101" s="686">
        <f t="shared" si="153"/>
        <v>2.5</v>
      </c>
    </row>
    <row r="102" spans="1:37" s="674" customFormat="1" ht="13.15" customHeight="1" x14ac:dyDescent="0.2">
      <c r="A102" s="680" t="s">
        <v>255</v>
      </c>
      <c r="B102" s="681"/>
      <c r="C102" s="690">
        <f t="shared" ref="C102:N102" si="154">C100*C101</f>
        <v>0</v>
      </c>
      <c r="D102" s="690">
        <f t="shared" si="154"/>
        <v>0</v>
      </c>
      <c r="E102" s="690">
        <f t="shared" si="154"/>
        <v>0</v>
      </c>
      <c r="F102" s="690">
        <f t="shared" si="154"/>
        <v>0</v>
      </c>
      <c r="G102" s="690">
        <f t="shared" si="154"/>
        <v>0</v>
      </c>
      <c r="H102" s="690">
        <f t="shared" si="154"/>
        <v>0</v>
      </c>
      <c r="I102" s="690">
        <f t="shared" si="154"/>
        <v>0</v>
      </c>
      <c r="J102" s="690">
        <f t="shared" si="154"/>
        <v>0</v>
      </c>
      <c r="K102" s="690">
        <f t="shared" si="154"/>
        <v>0</v>
      </c>
      <c r="L102" s="690">
        <f t="shared" si="154"/>
        <v>0</v>
      </c>
      <c r="M102" s="690">
        <f t="shared" si="154"/>
        <v>0</v>
      </c>
      <c r="N102" s="690">
        <f t="shared" si="154"/>
        <v>0</v>
      </c>
      <c r="O102" s="691">
        <f>SUM(C102:N102)</f>
        <v>0</v>
      </c>
      <c r="P102" s="690">
        <f t="shared" ref="P102:AA102" si="155">P100*P101</f>
        <v>0</v>
      </c>
      <c r="Q102" s="690">
        <f t="shared" si="155"/>
        <v>0</v>
      </c>
      <c r="R102" s="690">
        <f t="shared" si="155"/>
        <v>0</v>
      </c>
      <c r="S102" s="690">
        <f t="shared" si="155"/>
        <v>0</v>
      </c>
      <c r="T102" s="690">
        <f t="shared" si="155"/>
        <v>0</v>
      </c>
      <c r="U102" s="690">
        <f t="shared" si="155"/>
        <v>0</v>
      </c>
      <c r="V102" s="690">
        <f t="shared" si="155"/>
        <v>0</v>
      </c>
      <c r="W102" s="690">
        <f t="shared" si="155"/>
        <v>0</v>
      </c>
      <c r="X102" s="690">
        <f t="shared" si="155"/>
        <v>0</v>
      </c>
      <c r="Y102" s="690">
        <f t="shared" si="155"/>
        <v>0</v>
      </c>
      <c r="Z102" s="690">
        <f t="shared" si="155"/>
        <v>0</v>
      </c>
      <c r="AA102" s="690">
        <f t="shared" si="155"/>
        <v>0</v>
      </c>
      <c r="AB102" s="691">
        <f>SUM(P102:AA102)</f>
        <v>0</v>
      </c>
      <c r="AC102" s="690">
        <f t="shared" ref="AC102:AJ102" si="156">AC100*AC101</f>
        <v>0</v>
      </c>
      <c r="AD102" s="690">
        <f t="shared" si="156"/>
        <v>0</v>
      </c>
      <c r="AE102" s="690">
        <f t="shared" si="156"/>
        <v>0</v>
      </c>
      <c r="AF102" s="690">
        <f t="shared" si="156"/>
        <v>0</v>
      </c>
      <c r="AG102" s="690">
        <f t="shared" si="156"/>
        <v>0</v>
      </c>
      <c r="AH102" s="690">
        <f t="shared" si="156"/>
        <v>0</v>
      </c>
      <c r="AI102" s="690">
        <f t="shared" si="156"/>
        <v>0</v>
      </c>
      <c r="AJ102" s="690">
        <f t="shared" si="156"/>
        <v>0</v>
      </c>
    </row>
    <row r="103" spans="1:37" s="674" customFormat="1" ht="13.15" customHeight="1" x14ac:dyDescent="0.2">
      <c r="A103" s="680"/>
      <c r="B103" s="681"/>
      <c r="C103" s="682"/>
      <c r="D103" s="682"/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3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82"/>
      <c r="AB103" s="683"/>
      <c r="AC103" s="683"/>
      <c r="AD103" s="683"/>
      <c r="AE103" s="683"/>
    </row>
    <row r="104" spans="1:37" s="684" customFormat="1" ht="13.15" customHeight="1" x14ac:dyDescent="0.2">
      <c r="A104" s="676" t="s">
        <v>257</v>
      </c>
      <c r="B104" s="677"/>
      <c r="C104" s="694">
        <f>C90+C96+C102</f>
        <v>0</v>
      </c>
      <c r="D104" s="694">
        <f t="shared" ref="D104:N104" si="157">D90+D96+D102</f>
        <v>0</v>
      </c>
      <c r="E104" s="694">
        <f t="shared" si="157"/>
        <v>0</v>
      </c>
      <c r="F104" s="694">
        <f t="shared" si="157"/>
        <v>0</v>
      </c>
      <c r="G104" s="694">
        <f t="shared" si="157"/>
        <v>0</v>
      </c>
      <c r="H104" s="694">
        <f t="shared" si="157"/>
        <v>0</v>
      </c>
      <c r="I104" s="694">
        <f t="shared" si="157"/>
        <v>0</v>
      </c>
      <c r="J104" s="694">
        <f t="shared" si="157"/>
        <v>0</v>
      </c>
      <c r="K104" s="694">
        <f t="shared" si="157"/>
        <v>0</v>
      </c>
      <c r="L104" s="694">
        <f t="shared" si="157"/>
        <v>0</v>
      </c>
      <c r="M104" s="694">
        <f t="shared" si="157"/>
        <v>0</v>
      </c>
      <c r="N104" s="694">
        <f t="shared" si="157"/>
        <v>0</v>
      </c>
      <c r="O104" s="679">
        <f>SUM(C104:N104)</f>
        <v>0</v>
      </c>
      <c r="P104" s="694">
        <f t="shared" ref="P104:AA104" si="158">P90+P96+P102</f>
        <v>0</v>
      </c>
      <c r="Q104" s="694">
        <f t="shared" si="158"/>
        <v>0</v>
      </c>
      <c r="R104" s="694">
        <f t="shared" si="158"/>
        <v>0</v>
      </c>
      <c r="S104" s="694">
        <f t="shared" si="158"/>
        <v>0</v>
      </c>
      <c r="T104" s="694">
        <f t="shared" si="158"/>
        <v>0</v>
      </c>
      <c r="U104" s="694">
        <f t="shared" si="158"/>
        <v>0</v>
      </c>
      <c r="V104" s="694">
        <f t="shared" si="158"/>
        <v>49.21875</v>
      </c>
      <c r="W104" s="694">
        <f t="shared" si="158"/>
        <v>98.4375</v>
      </c>
      <c r="X104" s="694">
        <f t="shared" si="158"/>
        <v>147.65625</v>
      </c>
      <c r="Y104" s="694">
        <f t="shared" si="158"/>
        <v>196.875</v>
      </c>
      <c r="Z104" s="694">
        <f t="shared" si="158"/>
        <v>246.09375</v>
      </c>
      <c r="AA104" s="694">
        <f t="shared" si="158"/>
        <v>295.3125</v>
      </c>
      <c r="AB104" s="694">
        <f>SUM(P104:AA104)</f>
        <v>1033.59375</v>
      </c>
      <c r="AC104" s="694">
        <f t="shared" ref="AC104:AJ104" si="159">AC90+AC96+AC102</f>
        <v>7441.875</v>
      </c>
      <c r="AD104" s="694">
        <f t="shared" si="159"/>
        <v>17413.987499999999</v>
      </c>
      <c r="AE104" s="694">
        <f t="shared" si="159"/>
        <v>35872.814249999996</v>
      </c>
      <c r="AF104" s="694">
        <f t="shared" si="159"/>
        <v>61661.381827499994</v>
      </c>
      <c r="AG104" s="694">
        <f t="shared" si="159"/>
        <v>82124.829422999988</v>
      </c>
      <c r="AH104" s="694">
        <f t="shared" si="159"/>
        <v>95812.300993499986</v>
      </c>
      <c r="AI104" s="694">
        <f t="shared" si="159"/>
        <v>109499.77256399996</v>
      </c>
      <c r="AJ104" s="694">
        <f t="shared" si="159"/>
        <v>123187.24413449998</v>
      </c>
    </row>
    <row r="105" spans="1:37" s="674" customFormat="1" ht="13.15" customHeight="1" x14ac:dyDescent="0.2">
      <c r="A105" s="680"/>
      <c r="B105" s="681"/>
      <c r="C105" s="682"/>
      <c r="D105" s="682"/>
      <c r="E105" s="682"/>
      <c r="F105" s="682"/>
      <c r="G105" s="682"/>
      <c r="H105" s="682"/>
      <c r="I105" s="682"/>
      <c r="J105" s="682"/>
      <c r="K105" s="682"/>
      <c r="L105" s="682"/>
      <c r="M105" s="682"/>
      <c r="N105" s="682"/>
      <c r="O105" s="683"/>
      <c r="P105" s="682"/>
      <c r="Q105" s="682"/>
      <c r="R105" s="682"/>
      <c r="S105" s="682"/>
      <c r="T105" s="682"/>
      <c r="U105" s="682"/>
      <c r="V105" s="682"/>
      <c r="W105" s="682"/>
      <c r="X105" s="682"/>
      <c r="Y105" s="682"/>
      <c r="Z105" s="682"/>
      <c r="AA105" s="682"/>
      <c r="AB105" s="683"/>
      <c r="AC105" s="683"/>
      <c r="AD105" s="683"/>
      <c r="AE105" s="683"/>
    </row>
    <row r="106" spans="1:37" s="674" customFormat="1" ht="13.15" customHeight="1" x14ac:dyDescent="0.2">
      <c r="A106" s="680" t="s">
        <v>258</v>
      </c>
      <c r="B106" s="681"/>
      <c r="C106" s="767">
        <f>C25</f>
        <v>300</v>
      </c>
      <c r="D106" s="767">
        <f t="shared" ref="D106:AJ106" si="160">D25</f>
        <v>300</v>
      </c>
      <c r="E106" s="767">
        <f t="shared" si="160"/>
        <v>300</v>
      </c>
      <c r="F106" s="767">
        <f t="shared" si="160"/>
        <v>300</v>
      </c>
      <c r="G106" s="767">
        <f t="shared" si="160"/>
        <v>300</v>
      </c>
      <c r="H106" s="767">
        <f t="shared" si="160"/>
        <v>300</v>
      </c>
      <c r="I106" s="767">
        <f t="shared" si="160"/>
        <v>300</v>
      </c>
      <c r="J106" s="767">
        <f t="shared" si="160"/>
        <v>300</v>
      </c>
      <c r="K106" s="767">
        <f t="shared" si="160"/>
        <v>300</v>
      </c>
      <c r="L106" s="767">
        <f t="shared" si="160"/>
        <v>300</v>
      </c>
      <c r="M106" s="767">
        <f t="shared" si="160"/>
        <v>300</v>
      </c>
      <c r="N106" s="767">
        <f t="shared" si="160"/>
        <v>300</v>
      </c>
      <c r="O106" s="767">
        <f t="shared" si="160"/>
        <v>300</v>
      </c>
      <c r="P106" s="767">
        <f t="shared" si="160"/>
        <v>300</v>
      </c>
      <c r="Q106" s="767">
        <f t="shared" si="160"/>
        <v>300</v>
      </c>
      <c r="R106" s="767">
        <f t="shared" si="160"/>
        <v>300</v>
      </c>
      <c r="S106" s="767">
        <f t="shared" si="160"/>
        <v>300</v>
      </c>
      <c r="T106" s="767">
        <f t="shared" si="160"/>
        <v>300</v>
      </c>
      <c r="U106" s="767">
        <f t="shared" si="160"/>
        <v>300</v>
      </c>
      <c r="V106" s="767">
        <f t="shared" si="160"/>
        <v>300</v>
      </c>
      <c r="W106" s="767">
        <f t="shared" si="160"/>
        <v>300</v>
      </c>
      <c r="X106" s="767">
        <f t="shared" si="160"/>
        <v>300</v>
      </c>
      <c r="Y106" s="767">
        <f t="shared" si="160"/>
        <v>300</v>
      </c>
      <c r="Z106" s="767">
        <f t="shared" si="160"/>
        <v>300</v>
      </c>
      <c r="AA106" s="767">
        <f t="shared" si="160"/>
        <v>300</v>
      </c>
      <c r="AB106" s="767">
        <f t="shared" si="160"/>
        <v>300</v>
      </c>
      <c r="AC106" s="767">
        <f t="shared" si="160"/>
        <v>300</v>
      </c>
      <c r="AD106" s="767">
        <f t="shared" si="160"/>
        <v>300</v>
      </c>
      <c r="AE106" s="767">
        <f t="shared" si="160"/>
        <v>300</v>
      </c>
      <c r="AF106" s="767">
        <f t="shared" si="160"/>
        <v>300</v>
      </c>
      <c r="AG106" s="767">
        <f t="shared" si="160"/>
        <v>300</v>
      </c>
      <c r="AH106" s="767">
        <f t="shared" si="160"/>
        <v>300</v>
      </c>
      <c r="AI106" s="767">
        <f t="shared" si="160"/>
        <v>300</v>
      </c>
      <c r="AJ106" s="767">
        <f t="shared" si="160"/>
        <v>300</v>
      </c>
      <c r="AK106" s="693"/>
    </row>
    <row r="107" spans="1:37" s="674" customFormat="1" ht="13.15" customHeight="1" x14ac:dyDescent="0.2">
      <c r="A107" s="680"/>
      <c r="B107" s="681"/>
      <c r="C107" s="682"/>
      <c r="D107" s="682"/>
      <c r="E107" s="682"/>
      <c r="F107" s="682"/>
      <c r="G107" s="682"/>
      <c r="H107" s="682"/>
      <c r="I107" s="682"/>
      <c r="J107" s="682"/>
      <c r="K107" s="682"/>
      <c r="L107" s="682"/>
      <c r="M107" s="682"/>
      <c r="N107" s="682"/>
      <c r="O107" s="683"/>
      <c r="P107" s="682"/>
      <c r="Q107" s="682"/>
      <c r="R107" s="682"/>
      <c r="S107" s="682"/>
      <c r="T107" s="682"/>
      <c r="U107" s="682"/>
      <c r="V107" s="682"/>
      <c r="W107" s="682"/>
      <c r="X107" s="682"/>
      <c r="Y107" s="682"/>
      <c r="Z107" s="682"/>
      <c r="AA107" s="682"/>
      <c r="AB107" s="683"/>
      <c r="AC107" s="683"/>
      <c r="AD107" s="683"/>
      <c r="AE107" s="683"/>
    </row>
    <row r="108" spans="1:37" s="766" customFormat="1" ht="13.15" customHeight="1" x14ac:dyDescent="0.2">
      <c r="A108" s="763" t="s">
        <v>414</v>
      </c>
      <c r="B108" s="764"/>
      <c r="C108" s="765">
        <f>C104*C106</f>
        <v>0</v>
      </c>
      <c r="D108" s="765">
        <f t="shared" ref="D108:N108" si="161">D104*D106</f>
        <v>0</v>
      </c>
      <c r="E108" s="765">
        <f t="shared" si="161"/>
        <v>0</v>
      </c>
      <c r="F108" s="765">
        <f t="shared" si="161"/>
        <v>0</v>
      </c>
      <c r="G108" s="765">
        <f t="shared" si="161"/>
        <v>0</v>
      </c>
      <c r="H108" s="765">
        <f t="shared" si="161"/>
        <v>0</v>
      </c>
      <c r="I108" s="765">
        <f t="shared" si="161"/>
        <v>0</v>
      </c>
      <c r="J108" s="765">
        <f t="shared" si="161"/>
        <v>0</v>
      </c>
      <c r="K108" s="765">
        <f t="shared" si="161"/>
        <v>0</v>
      </c>
      <c r="L108" s="765">
        <f t="shared" si="161"/>
        <v>0</v>
      </c>
      <c r="M108" s="765">
        <f t="shared" si="161"/>
        <v>0</v>
      </c>
      <c r="N108" s="765">
        <f t="shared" si="161"/>
        <v>0</v>
      </c>
      <c r="O108" s="765">
        <f>SUM(C108:N108)</f>
        <v>0</v>
      </c>
      <c r="P108" s="765">
        <f>P104*P106</f>
        <v>0</v>
      </c>
      <c r="Q108" s="765">
        <f t="shared" ref="Q108:AA108" si="162">Q104*Q106</f>
        <v>0</v>
      </c>
      <c r="R108" s="765">
        <f t="shared" si="162"/>
        <v>0</v>
      </c>
      <c r="S108" s="765">
        <f t="shared" si="162"/>
        <v>0</v>
      </c>
      <c r="T108" s="765">
        <f t="shared" si="162"/>
        <v>0</v>
      </c>
      <c r="U108" s="765">
        <f t="shared" si="162"/>
        <v>0</v>
      </c>
      <c r="V108" s="765">
        <f t="shared" si="162"/>
        <v>14765.625</v>
      </c>
      <c r="W108" s="765">
        <f t="shared" si="162"/>
        <v>29531.25</v>
      </c>
      <c r="X108" s="765">
        <f t="shared" si="162"/>
        <v>44296.875</v>
      </c>
      <c r="Y108" s="765">
        <f t="shared" si="162"/>
        <v>59062.5</v>
      </c>
      <c r="Z108" s="765">
        <f t="shared" si="162"/>
        <v>73828.125</v>
      </c>
      <c r="AA108" s="765">
        <f t="shared" si="162"/>
        <v>88593.75</v>
      </c>
      <c r="AB108" s="765">
        <f>SUM(P108:AA108)</f>
        <v>310078.125</v>
      </c>
      <c r="AC108" s="765">
        <f t="shared" ref="AC108:AJ108" si="163">AC104*AC106</f>
        <v>2232562.5</v>
      </c>
      <c r="AD108" s="765">
        <f t="shared" si="163"/>
        <v>5224196.25</v>
      </c>
      <c r="AE108" s="765">
        <f t="shared" si="163"/>
        <v>10761844.274999999</v>
      </c>
      <c r="AF108" s="765">
        <f t="shared" si="163"/>
        <v>18498414.548249997</v>
      </c>
      <c r="AG108" s="765">
        <f t="shared" si="163"/>
        <v>24637448.826899998</v>
      </c>
      <c r="AH108" s="765">
        <f t="shared" si="163"/>
        <v>28743690.298049998</v>
      </c>
      <c r="AI108" s="765">
        <f t="shared" si="163"/>
        <v>32849931.769199986</v>
      </c>
      <c r="AJ108" s="765">
        <f t="shared" si="163"/>
        <v>36956173.240349993</v>
      </c>
    </row>
    <row r="109" spans="1:37" s="674" customFormat="1" ht="13.15" customHeight="1" x14ac:dyDescent="0.2">
      <c r="A109" s="680"/>
      <c r="B109" s="681"/>
      <c r="C109" s="682"/>
      <c r="D109" s="682"/>
      <c r="E109" s="682"/>
      <c r="F109" s="682"/>
      <c r="G109" s="682"/>
      <c r="H109" s="682"/>
      <c r="I109" s="682"/>
      <c r="J109" s="682"/>
      <c r="K109" s="682"/>
      <c r="L109" s="682"/>
      <c r="M109" s="682"/>
      <c r="N109" s="682"/>
      <c r="O109" s="683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2"/>
      <c r="AA109" s="682"/>
      <c r="AB109" s="683"/>
      <c r="AC109" s="683"/>
      <c r="AD109" s="683"/>
      <c r="AE109" s="683"/>
    </row>
    <row r="110" spans="1:37" s="674" customFormat="1" ht="13.15" customHeight="1" x14ac:dyDescent="0.2">
      <c r="A110" s="680"/>
      <c r="B110" s="681"/>
      <c r="C110" s="682"/>
      <c r="D110" s="682"/>
      <c r="E110" s="682"/>
      <c r="F110" s="682"/>
      <c r="G110" s="682"/>
      <c r="H110" s="682"/>
      <c r="I110" s="682"/>
      <c r="J110" s="682"/>
      <c r="K110" s="682"/>
      <c r="L110" s="682"/>
      <c r="M110" s="682"/>
      <c r="N110" s="682"/>
      <c r="O110" s="683"/>
      <c r="P110" s="682"/>
      <c r="Q110" s="682"/>
      <c r="R110" s="682"/>
      <c r="S110" s="682"/>
      <c r="T110" s="682"/>
      <c r="U110" s="682"/>
      <c r="V110" s="682"/>
      <c r="W110" s="682"/>
      <c r="X110" s="682"/>
      <c r="Y110" s="682"/>
      <c r="Z110" s="682"/>
      <c r="AA110" s="682"/>
      <c r="AB110" s="683"/>
      <c r="AC110" s="683"/>
      <c r="AD110" s="683"/>
      <c r="AE110" s="683"/>
    </row>
    <row r="111" spans="1:37" s="674" customFormat="1" ht="13.15" customHeight="1" x14ac:dyDescent="0.2">
      <c r="A111" s="676" t="s">
        <v>444</v>
      </c>
      <c r="B111" s="677"/>
      <c r="C111" s="678"/>
      <c r="D111" s="678"/>
      <c r="E111" s="678"/>
      <c r="F111" s="678"/>
      <c r="G111" s="678"/>
      <c r="H111" s="678"/>
      <c r="I111" s="678"/>
      <c r="J111" s="678"/>
      <c r="K111" s="678"/>
      <c r="L111" s="678"/>
      <c r="M111" s="678"/>
      <c r="N111" s="678"/>
      <c r="O111" s="679"/>
      <c r="P111" s="678"/>
      <c r="Q111" s="678"/>
      <c r="R111" s="678"/>
      <c r="S111" s="678"/>
      <c r="T111" s="678"/>
      <c r="U111" s="678"/>
      <c r="V111" s="678"/>
      <c r="W111" s="678"/>
      <c r="X111" s="678"/>
      <c r="Y111" s="678"/>
      <c r="Z111" s="678"/>
      <c r="AA111" s="678"/>
      <c r="AB111" s="679"/>
      <c r="AC111" s="679"/>
      <c r="AD111" s="679"/>
      <c r="AE111" s="679"/>
    </row>
    <row r="112" spans="1:37" s="674" customFormat="1" ht="13.15" customHeight="1" x14ac:dyDescent="0.2">
      <c r="A112" s="674" t="s">
        <v>250</v>
      </c>
      <c r="B112" s="681"/>
      <c r="C112" s="690">
        <f>$O112/12</f>
        <v>4166.666666666667</v>
      </c>
      <c r="D112" s="690">
        <f t="shared" ref="D112:N112" si="164">$O112/12</f>
        <v>4166.666666666667</v>
      </c>
      <c r="E112" s="690">
        <f t="shared" si="164"/>
        <v>4166.666666666667</v>
      </c>
      <c r="F112" s="690">
        <f t="shared" si="164"/>
        <v>4166.666666666667</v>
      </c>
      <c r="G112" s="690">
        <f t="shared" si="164"/>
        <v>4166.666666666667</v>
      </c>
      <c r="H112" s="690">
        <f t="shared" si="164"/>
        <v>4166.666666666667</v>
      </c>
      <c r="I112" s="690">
        <f t="shared" si="164"/>
        <v>4166.666666666667</v>
      </c>
      <c r="J112" s="690">
        <f t="shared" si="164"/>
        <v>4166.666666666667</v>
      </c>
      <c r="K112" s="690">
        <f t="shared" si="164"/>
        <v>4166.666666666667</v>
      </c>
      <c r="L112" s="690">
        <f t="shared" si="164"/>
        <v>4166.666666666667</v>
      </c>
      <c r="M112" s="690">
        <f t="shared" si="164"/>
        <v>4166.666666666667</v>
      </c>
      <c r="N112" s="690">
        <f t="shared" si="164"/>
        <v>4166.666666666667</v>
      </c>
      <c r="O112" s="689">
        <v>50000</v>
      </c>
      <c r="P112" s="690">
        <f>$AB112/12</f>
        <v>4375</v>
      </c>
      <c r="Q112" s="690">
        <f t="shared" ref="Q112:AA112" si="165">$AB112/12</f>
        <v>4375</v>
      </c>
      <c r="R112" s="690">
        <f t="shared" si="165"/>
        <v>4375</v>
      </c>
      <c r="S112" s="690">
        <f t="shared" si="165"/>
        <v>4375</v>
      </c>
      <c r="T112" s="690">
        <f t="shared" si="165"/>
        <v>4375</v>
      </c>
      <c r="U112" s="690">
        <f t="shared" si="165"/>
        <v>4375</v>
      </c>
      <c r="V112" s="690">
        <f t="shared" si="165"/>
        <v>4375</v>
      </c>
      <c r="W112" s="690">
        <f t="shared" si="165"/>
        <v>4375</v>
      </c>
      <c r="X112" s="690">
        <f t="shared" si="165"/>
        <v>4375</v>
      </c>
      <c r="Y112" s="690">
        <f t="shared" si="165"/>
        <v>4375</v>
      </c>
      <c r="Z112" s="690">
        <f t="shared" si="165"/>
        <v>4375</v>
      </c>
      <c r="AA112" s="690">
        <f t="shared" si="165"/>
        <v>4375</v>
      </c>
      <c r="AB112" s="690">
        <f>O112*(1+AB113)</f>
        <v>52500</v>
      </c>
      <c r="AC112" s="690">
        <f t="shared" ref="AC112:AJ112" si="166">AB112*(1+AC113)</f>
        <v>55125</v>
      </c>
      <c r="AD112" s="690">
        <f t="shared" si="166"/>
        <v>57330</v>
      </c>
      <c r="AE112" s="690">
        <f t="shared" si="166"/>
        <v>59049.9</v>
      </c>
      <c r="AF112" s="690">
        <f t="shared" si="166"/>
        <v>60230.898000000001</v>
      </c>
      <c r="AG112" s="690">
        <f t="shared" si="166"/>
        <v>60833.206980000003</v>
      </c>
      <c r="AH112" s="690">
        <f t="shared" si="166"/>
        <v>60833.206980000003</v>
      </c>
      <c r="AI112" s="690">
        <f t="shared" si="166"/>
        <v>60833.206980000003</v>
      </c>
      <c r="AJ112" s="690">
        <f t="shared" si="166"/>
        <v>60833.206980000003</v>
      </c>
    </row>
    <row r="113" spans="1:36" s="688" customFormat="1" ht="13.15" customHeight="1" x14ac:dyDescent="0.2">
      <c r="A113" s="680" t="s">
        <v>324</v>
      </c>
      <c r="B113" s="681"/>
      <c r="C113" s="687"/>
      <c r="D113" s="687"/>
      <c r="E113" s="687"/>
      <c r="F113" s="687"/>
      <c r="G113" s="687"/>
      <c r="H113" s="687"/>
      <c r="I113" s="687"/>
      <c r="J113" s="687"/>
      <c r="K113" s="687"/>
      <c r="L113" s="687"/>
      <c r="M113" s="687"/>
      <c r="N113" s="687"/>
      <c r="O113" s="692"/>
      <c r="P113" s="687"/>
      <c r="Q113" s="687"/>
      <c r="R113" s="687"/>
      <c r="S113" s="687"/>
      <c r="T113" s="687"/>
      <c r="U113" s="687"/>
      <c r="V113" s="687"/>
      <c r="W113" s="687"/>
      <c r="X113" s="687"/>
      <c r="Y113" s="687"/>
      <c r="Z113" s="687"/>
      <c r="AA113" s="687"/>
      <c r="AB113" s="687">
        <v>0.05</v>
      </c>
      <c r="AC113" s="687">
        <v>0.05</v>
      </c>
      <c r="AD113" s="687">
        <f>AC113-1%</f>
        <v>0.04</v>
      </c>
      <c r="AE113" s="687">
        <f>AD113-1%</f>
        <v>0.03</v>
      </c>
      <c r="AF113" s="687">
        <f>AE113-1%</f>
        <v>1.9999999999999997E-2</v>
      </c>
      <c r="AG113" s="687">
        <f>AF113-1%</f>
        <v>9.9999999999999967E-3</v>
      </c>
      <c r="AH113" s="687">
        <f>AG113-1%</f>
        <v>0</v>
      </c>
      <c r="AI113" s="688">
        <f>AH113</f>
        <v>0</v>
      </c>
      <c r="AJ113" s="688">
        <f>AI113</f>
        <v>0</v>
      </c>
    </row>
    <row r="114" spans="1:36" s="688" customFormat="1" ht="13.15" customHeight="1" x14ac:dyDescent="0.2">
      <c r="A114" s="680" t="s">
        <v>248</v>
      </c>
      <c r="B114" s="681"/>
      <c r="C114" s="687">
        <f t="shared" ref="C114:N114" si="167">C87</f>
        <v>0</v>
      </c>
      <c r="D114" s="687">
        <f t="shared" si="167"/>
        <v>0</v>
      </c>
      <c r="E114" s="687">
        <f t="shared" si="167"/>
        <v>0</v>
      </c>
      <c r="F114" s="687">
        <f t="shared" si="167"/>
        <v>0</v>
      </c>
      <c r="G114" s="687">
        <f t="shared" si="167"/>
        <v>0</v>
      </c>
      <c r="H114" s="687">
        <f t="shared" si="167"/>
        <v>0</v>
      </c>
      <c r="I114" s="687">
        <f t="shared" si="167"/>
        <v>0</v>
      </c>
      <c r="J114" s="687">
        <f t="shared" si="167"/>
        <v>0</v>
      </c>
      <c r="K114" s="687">
        <f t="shared" si="167"/>
        <v>0</v>
      </c>
      <c r="L114" s="687">
        <f t="shared" si="167"/>
        <v>0</v>
      </c>
      <c r="M114" s="687">
        <f t="shared" si="167"/>
        <v>0</v>
      </c>
      <c r="N114" s="687">
        <f t="shared" si="167"/>
        <v>0</v>
      </c>
      <c r="O114" s="692">
        <f>N114</f>
        <v>0</v>
      </c>
      <c r="P114" s="687">
        <f>P87</f>
        <v>0</v>
      </c>
      <c r="Q114" s="687">
        <f t="shared" ref="Q114:AJ114" si="168">Q87</f>
        <v>0</v>
      </c>
      <c r="R114" s="687">
        <f t="shared" si="168"/>
        <v>0</v>
      </c>
      <c r="S114" s="687">
        <f t="shared" si="168"/>
        <v>0</v>
      </c>
      <c r="T114" s="687">
        <f t="shared" si="168"/>
        <v>0</v>
      </c>
      <c r="U114" s="687">
        <f t="shared" si="168"/>
        <v>0</v>
      </c>
      <c r="V114" s="687">
        <f t="shared" si="168"/>
        <v>1E-3</v>
      </c>
      <c r="W114" s="687">
        <f t="shared" si="168"/>
        <v>2E-3</v>
      </c>
      <c r="X114" s="687">
        <f t="shared" si="168"/>
        <v>3.0000000000000001E-3</v>
      </c>
      <c r="Y114" s="687">
        <f t="shared" si="168"/>
        <v>4.0000000000000001E-3</v>
      </c>
      <c r="Z114" s="687">
        <f t="shared" si="168"/>
        <v>5.0000000000000001E-3</v>
      </c>
      <c r="AA114" s="687">
        <f t="shared" si="168"/>
        <v>6.0000000000000001E-3</v>
      </c>
      <c r="AB114" s="692">
        <f>AA114</f>
        <v>6.0000000000000001E-3</v>
      </c>
      <c r="AC114" s="687">
        <f t="shared" si="168"/>
        <v>1.7999999999999999E-2</v>
      </c>
      <c r="AD114" s="687">
        <f t="shared" si="168"/>
        <v>3.5999999999999997E-2</v>
      </c>
      <c r="AE114" s="687">
        <f t="shared" si="168"/>
        <v>7.1999999999999995E-2</v>
      </c>
      <c r="AF114" s="687">
        <f t="shared" si="168"/>
        <v>0.11</v>
      </c>
      <c r="AG114" s="687">
        <f t="shared" si="168"/>
        <v>0.13</v>
      </c>
      <c r="AH114" s="687">
        <f t="shared" si="168"/>
        <v>0.15</v>
      </c>
      <c r="AI114" s="687">
        <f t="shared" si="168"/>
        <v>0.16999999999999998</v>
      </c>
      <c r="AJ114" s="687">
        <f t="shared" si="168"/>
        <v>0.18999999999999997</v>
      </c>
    </row>
    <row r="115" spans="1:36" s="674" customFormat="1" ht="13.15" customHeight="1" x14ac:dyDescent="0.2">
      <c r="A115" s="680" t="s">
        <v>251</v>
      </c>
      <c r="B115" s="681"/>
      <c r="C115" s="690">
        <f t="shared" ref="C115:N115" si="169">C112*C114</f>
        <v>0</v>
      </c>
      <c r="D115" s="690">
        <f t="shared" si="169"/>
        <v>0</v>
      </c>
      <c r="E115" s="690">
        <f t="shared" si="169"/>
        <v>0</v>
      </c>
      <c r="F115" s="690">
        <f t="shared" si="169"/>
        <v>0</v>
      </c>
      <c r="G115" s="690">
        <f t="shared" si="169"/>
        <v>0</v>
      </c>
      <c r="H115" s="690">
        <f t="shared" si="169"/>
        <v>0</v>
      </c>
      <c r="I115" s="690">
        <f t="shared" si="169"/>
        <v>0</v>
      </c>
      <c r="J115" s="690">
        <f t="shared" si="169"/>
        <v>0</v>
      </c>
      <c r="K115" s="690">
        <f t="shared" si="169"/>
        <v>0</v>
      </c>
      <c r="L115" s="690">
        <f t="shared" si="169"/>
        <v>0</v>
      </c>
      <c r="M115" s="690">
        <f t="shared" si="169"/>
        <v>0</v>
      </c>
      <c r="N115" s="690">
        <f t="shared" si="169"/>
        <v>0</v>
      </c>
      <c r="O115" s="683">
        <f>SUM(C115:N115)</f>
        <v>0</v>
      </c>
      <c r="P115" s="690">
        <f t="shared" ref="P115:AA115" si="170">P112*P114</f>
        <v>0</v>
      </c>
      <c r="Q115" s="690">
        <f t="shared" si="170"/>
        <v>0</v>
      </c>
      <c r="R115" s="690">
        <f t="shared" si="170"/>
        <v>0</v>
      </c>
      <c r="S115" s="690">
        <f t="shared" si="170"/>
        <v>0</v>
      </c>
      <c r="T115" s="690">
        <f t="shared" si="170"/>
        <v>0</v>
      </c>
      <c r="U115" s="690">
        <f t="shared" si="170"/>
        <v>0</v>
      </c>
      <c r="V115" s="690">
        <f t="shared" si="170"/>
        <v>4.375</v>
      </c>
      <c r="W115" s="690">
        <f t="shared" si="170"/>
        <v>8.75</v>
      </c>
      <c r="X115" s="690">
        <f t="shared" si="170"/>
        <v>13.125</v>
      </c>
      <c r="Y115" s="690">
        <f t="shared" si="170"/>
        <v>17.5</v>
      </c>
      <c r="Z115" s="690">
        <f t="shared" si="170"/>
        <v>21.875</v>
      </c>
      <c r="AA115" s="690">
        <f t="shared" si="170"/>
        <v>26.25</v>
      </c>
      <c r="AB115" s="690">
        <f>SUM(P115:AA115)</f>
        <v>91.875</v>
      </c>
      <c r="AC115" s="690">
        <f>AC112*AVERAGE(AA114,AC114)</f>
        <v>661.5</v>
      </c>
      <c r="AD115" s="690">
        <f t="shared" ref="AD115:AJ115" si="171">AD112*AVERAGE(AC114,AD114)</f>
        <v>1547.9099999999999</v>
      </c>
      <c r="AE115" s="690">
        <f t="shared" si="171"/>
        <v>3188.6945999999998</v>
      </c>
      <c r="AF115" s="690">
        <f t="shared" si="171"/>
        <v>5481.0117179999997</v>
      </c>
      <c r="AG115" s="690">
        <f t="shared" si="171"/>
        <v>7299.9848376</v>
      </c>
      <c r="AH115" s="690">
        <f t="shared" si="171"/>
        <v>8516.6489772000004</v>
      </c>
      <c r="AI115" s="690">
        <f t="shared" si="171"/>
        <v>9733.3131167999982</v>
      </c>
      <c r="AJ115" s="690">
        <f t="shared" si="171"/>
        <v>10949.9772564</v>
      </c>
    </row>
    <row r="116" spans="1:36" s="674" customFormat="1" ht="13.15" customHeight="1" x14ac:dyDescent="0.2">
      <c r="A116" s="680" t="s">
        <v>249</v>
      </c>
      <c r="B116" s="681"/>
      <c r="C116" s="686">
        <v>3.5</v>
      </c>
      <c r="D116" s="686">
        <f t="shared" ref="D116:O116" si="172">C116</f>
        <v>3.5</v>
      </c>
      <c r="E116" s="686">
        <f t="shared" si="172"/>
        <v>3.5</v>
      </c>
      <c r="F116" s="686">
        <f t="shared" si="172"/>
        <v>3.5</v>
      </c>
      <c r="G116" s="686">
        <f t="shared" si="172"/>
        <v>3.5</v>
      </c>
      <c r="H116" s="686">
        <f t="shared" si="172"/>
        <v>3.5</v>
      </c>
      <c r="I116" s="686">
        <f t="shared" si="172"/>
        <v>3.5</v>
      </c>
      <c r="J116" s="686">
        <f t="shared" si="172"/>
        <v>3.5</v>
      </c>
      <c r="K116" s="686">
        <f t="shared" si="172"/>
        <v>3.5</v>
      </c>
      <c r="L116" s="686">
        <f t="shared" si="172"/>
        <v>3.5</v>
      </c>
      <c r="M116" s="686">
        <f t="shared" si="172"/>
        <v>3.5</v>
      </c>
      <c r="N116" s="686">
        <f t="shared" si="172"/>
        <v>3.5</v>
      </c>
      <c r="O116" s="685">
        <f t="shared" si="172"/>
        <v>3.5</v>
      </c>
      <c r="P116" s="686">
        <f>N116</f>
        <v>3.5</v>
      </c>
      <c r="Q116" s="686">
        <f t="shared" ref="Q116:AB116" si="173">P116</f>
        <v>3.5</v>
      </c>
      <c r="R116" s="686">
        <f t="shared" si="173"/>
        <v>3.5</v>
      </c>
      <c r="S116" s="686">
        <f t="shared" si="173"/>
        <v>3.5</v>
      </c>
      <c r="T116" s="686">
        <f t="shared" si="173"/>
        <v>3.5</v>
      </c>
      <c r="U116" s="686">
        <f t="shared" si="173"/>
        <v>3.5</v>
      </c>
      <c r="V116" s="686">
        <f t="shared" si="173"/>
        <v>3.5</v>
      </c>
      <c r="W116" s="686">
        <f t="shared" si="173"/>
        <v>3.5</v>
      </c>
      <c r="X116" s="686">
        <f t="shared" si="173"/>
        <v>3.5</v>
      </c>
      <c r="Y116" s="686">
        <f t="shared" si="173"/>
        <v>3.5</v>
      </c>
      <c r="Z116" s="686">
        <f t="shared" si="173"/>
        <v>3.5</v>
      </c>
      <c r="AA116" s="686">
        <f t="shared" si="173"/>
        <v>3.5</v>
      </c>
      <c r="AB116" s="686">
        <f t="shared" si="173"/>
        <v>3.5</v>
      </c>
      <c r="AC116" s="686">
        <f>AA116</f>
        <v>3.5</v>
      </c>
      <c r="AD116" s="686">
        <f t="shared" ref="AD116:AJ116" si="174">AC116</f>
        <v>3.5</v>
      </c>
      <c r="AE116" s="686">
        <f t="shared" si="174"/>
        <v>3.5</v>
      </c>
      <c r="AF116" s="686">
        <f t="shared" si="174"/>
        <v>3.5</v>
      </c>
      <c r="AG116" s="686">
        <f t="shared" si="174"/>
        <v>3.5</v>
      </c>
      <c r="AH116" s="686">
        <f t="shared" si="174"/>
        <v>3.5</v>
      </c>
      <c r="AI116" s="686">
        <f t="shared" si="174"/>
        <v>3.5</v>
      </c>
      <c r="AJ116" s="686">
        <f t="shared" si="174"/>
        <v>3.5</v>
      </c>
    </row>
    <row r="117" spans="1:36" s="674" customFormat="1" ht="13.15" customHeight="1" x14ac:dyDescent="0.2">
      <c r="A117" s="680" t="s">
        <v>255</v>
      </c>
      <c r="B117" s="681"/>
      <c r="C117" s="690">
        <f t="shared" ref="C117:N117" si="175">C115*C116</f>
        <v>0</v>
      </c>
      <c r="D117" s="690">
        <f t="shared" si="175"/>
        <v>0</v>
      </c>
      <c r="E117" s="690">
        <f t="shared" si="175"/>
        <v>0</v>
      </c>
      <c r="F117" s="690">
        <f t="shared" si="175"/>
        <v>0</v>
      </c>
      <c r="G117" s="690">
        <f t="shared" si="175"/>
        <v>0</v>
      </c>
      <c r="H117" s="690">
        <f t="shared" si="175"/>
        <v>0</v>
      </c>
      <c r="I117" s="690">
        <f t="shared" si="175"/>
        <v>0</v>
      </c>
      <c r="J117" s="690">
        <f t="shared" si="175"/>
        <v>0</v>
      </c>
      <c r="K117" s="690">
        <f t="shared" si="175"/>
        <v>0</v>
      </c>
      <c r="L117" s="690">
        <f t="shared" si="175"/>
        <v>0</v>
      </c>
      <c r="M117" s="690">
        <f t="shared" si="175"/>
        <v>0</v>
      </c>
      <c r="N117" s="690">
        <f t="shared" si="175"/>
        <v>0</v>
      </c>
      <c r="O117" s="691">
        <f>SUM(C117:N117)</f>
        <v>0</v>
      </c>
      <c r="P117" s="690">
        <f t="shared" ref="P117:AA117" si="176">P115*P116</f>
        <v>0</v>
      </c>
      <c r="Q117" s="690">
        <f t="shared" si="176"/>
        <v>0</v>
      </c>
      <c r="R117" s="690">
        <f t="shared" si="176"/>
        <v>0</v>
      </c>
      <c r="S117" s="690">
        <f t="shared" si="176"/>
        <v>0</v>
      </c>
      <c r="T117" s="690">
        <f t="shared" si="176"/>
        <v>0</v>
      </c>
      <c r="U117" s="690">
        <f t="shared" si="176"/>
        <v>0</v>
      </c>
      <c r="V117" s="690">
        <f t="shared" si="176"/>
        <v>15.3125</v>
      </c>
      <c r="W117" s="690">
        <f t="shared" si="176"/>
        <v>30.625</v>
      </c>
      <c r="X117" s="690">
        <f t="shared" si="176"/>
        <v>45.9375</v>
      </c>
      <c r="Y117" s="690">
        <f t="shared" si="176"/>
        <v>61.25</v>
      </c>
      <c r="Z117" s="690">
        <f t="shared" si="176"/>
        <v>76.5625</v>
      </c>
      <c r="AA117" s="690">
        <f t="shared" si="176"/>
        <v>91.875</v>
      </c>
      <c r="AB117" s="691">
        <f>SUM(P117:AA117)</f>
        <v>321.5625</v>
      </c>
      <c r="AC117" s="690">
        <f t="shared" ref="AC117:AJ117" si="177">AC115*AC116</f>
        <v>2315.25</v>
      </c>
      <c r="AD117" s="690">
        <f t="shared" si="177"/>
        <v>5417.6849999999995</v>
      </c>
      <c r="AE117" s="690">
        <f t="shared" si="177"/>
        <v>11160.4311</v>
      </c>
      <c r="AF117" s="690">
        <f t="shared" si="177"/>
        <v>19183.541012999998</v>
      </c>
      <c r="AG117" s="690">
        <f t="shared" si="177"/>
        <v>25549.9469316</v>
      </c>
      <c r="AH117" s="690">
        <f t="shared" si="177"/>
        <v>29808.271420200002</v>
      </c>
      <c r="AI117" s="690">
        <f t="shared" si="177"/>
        <v>34066.595908799995</v>
      </c>
      <c r="AJ117" s="690">
        <f t="shared" si="177"/>
        <v>38324.920397399997</v>
      </c>
    </row>
    <row r="119" spans="1:36" s="674" customFormat="1" ht="13.15" customHeight="1" x14ac:dyDescent="0.2">
      <c r="A119" s="680" t="s">
        <v>253</v>
      </c>
      <c r="B119" s="681"/>
      <c r="C119" s="689">
        <v>0</v>
      </c>
      <c r="D119" s="689">
        <v>0</v>
      </c>
      <c r="E119" s="689">
        <v>0</v>
      </c>
      <c r="F119" s="689">
        <v>0</v>
      </c>
      <c r="G119" s="689">
        <v>0</v>
      </c>
      <c r="H119" s="689">
        <v>0</v>
      </c>
      <c r="I119" s="689">
        <v>0</v>
      </c>
      <c r="J119" s="689">
        <v>0</v>
      </c>
      <c r="K119" s="689">
        <v>0</v>
      </c>
      <c r="L119" s="689">
        <v>0</v>
      </c>
      <c r="M119" s="689">
        <v>0</v>
      </c>
      <c r="N119" s="689">
        <v>0</v>
      </c>
      <c r="O119" s="690">
        <f>N119</f>
        <v>0</v>
      </c>
      <c r="P119" s="689">
        <f>N119</f>
        <v>0</v>
      </c>
      <c r="Q119" s="689">
        <f>P119</f>
        <v>0</v>
      </c>
      <c r="R119" s="689">
        <f t="shared" ref="R119:AA119" si="178">Q119</f>
        <v>0</v>
      </c>
      <c r="S119" s="689">
        <f t="shared" si="178"/>
        <v>0</v>
      </c>
      <c r="T119" s="689">
        <f t="shared" si="178"/>
        <v>0</v>
      </c>
      <c r="U119" s="689">
        <f t="shared" si="178"/>
        <v>0</v>
      </c>
      <c r="V119" s="689">
        <f t="shared" si="178"/>
        <v>0</v>
      </c>
      <c r="W119" s="689">
        <f t="shared" si="178"/>
        <v>0</v>
      </c>
      <c r="X119" s="689">
        <f t="shared" si="178"/>
        <v>0</v>
      </c>
      <c r="Y119" s="689">
        <f t="shared" si="178"/>
        <v>0</v>
      </c>
      <c r="Z119" s="689">
        <f t="shared" si="178"/>
        <v>0</v>
      </c>
      <c r="AA119" s="689">
        <f t="shared" si="178"/>
        <v>0</v>
      </c>
      <c r="AB119" s="690">
        <f>AA119</f>
        <v>0</v>
      </c>
      <c r="AC119" s="689">
        <f>AA119</f>
        <v>0</v>
      </c>
      <c r="AD119" s="689">
        <f>AC119</f>
        <v>0</v>
      </c>
      <c r="AE119" s="689">
        <f t="shared" ref="AE119:AJ119" si="179">AD119</f>
        <v>0</v>
      </c>
      <c r="AF119" s="689">
        <f t="shared" si="179"/>
        <v>0</v>
      </c>
      <c r="AG119" s="689">
        <f t="shared" si="179"/>
        <v>0</v>
      </c>
      <c r="AH119" s="689">
        <f t="shared" si="179"/>
        <v>0</v>
      </c>
      <c r="AI119" s="689">
        <f t="shared" si="179"/>
        <v>0</v>
      </c>
      <c r="AJ119" s="689">
        <f t="shared" si="179"/>
        <v>0</v>
      </c>
    </row>
    <row r="120" spans="1:36" s="674" customFormat="1" ht="13.15" customHeight="1" x14ac:dyDescent="0.2">
      <c r="A120" s="680" t="s">
        <v>252</v>
      </c>
      <c r="B120" s="681"/>
      <c r="C120" s="689">
        <f>100/12</f>
        <v>8.3333333333333339</v>
      </c>
      <c r="D120" s="689">
        <f t="shared" ref="D120:N120" si="180">100/12</f>
        <v>8.3333333333333339</v>
      </c>
      <c r="E120" s="689">
        <f t="shared" si="180"/>
        <v>8.3333333333333339</v>
      </c>
      <c r="F120" s="689">
        <f t="shared" si="180"/>
        <v>8.3333333333333339</v>
      </c>
      <c r="G120" s="689">
        <f t="shared" si="180"/>
        <v>8.3333333333333339</v>
      </c>
      <c r="H120" s="689">
        <f t="shared" si="180"/>
        <v>8.3333333333333339</v>
      </c>
      <c r="I120" s="689">
        <f t="shared" si="180"/>
        <v>8.3333333333333339</v>
      </c>
      <c r="J120" s="689">
        <f t="shared" si="180"/>
        <v>8.3333333333333339</v>
      </c>
      <c r="K120" s="689">
        <f t="shared" si="180"/>
        <v>8.3333333333333339</v>
      </c>
      <c r="L120" s="689">
        <f t="shared" si="180"/>
        <v>8.3333333333333339</v>
      </c>
      <c r="M120" s="689">
        <f t="shared" si="180"/>
        <v>8.3333333333333339</v>
      </c>
      <c r="N120" s="689">
        <f t="shared" si="180"/>
        <v>8.3333333333333339</v>
      </c>
      <c r="O120" s="683">
        <f>SUM(C120:N120)</f>
        <v>99.999999999999986</v>
      </c>
      <c r="P120" s="689">
        <f t="shared" ref="P120:AA120" si="181">100/12</f>
        <v>8.3333333333333339</v>
      </c>
      <c r="Q120" s="689">
        <f t="shared" si="181"/>
        <v>8.3333333333333339</v>
      </c>
      <c r="R120" s="689">
        <f t="shared" si="181"/>
        <v>8.3333333333333339</v>
      </c>
      <c r="S120" s="689">
        <f t="shared" si="181"/>
        <v>8.3333333333333339</v>
      </c>
      <c r="T120" s="689">
        <f t="shared" si="181"/>
        <v>8.3333333333333339</v>
      </c>
      <c r="U120" s="689">
        <f t="shared" si="181"/>
        <v>8.3333333333333339</v>
      </c>
      <c r="V120" s="689">
        <f t="shared" si="181"/>
        <v>8.3333333333333339</v>
      </c>
      <c r="W120" s="689">
        <f t="shared" si="181"/>
        <v>8.3333333333333339</v>
      </c>
      <c r="X120" s="689">
        <f t="shared" si="181"/>
        <v>8.3333333333333339</v>
      </c>
      <c r="Y120" s="689">
        <f t="shared" si="181"/>
        <v>8.3333333333333339</v>
      </c>
      <c r="Z120" s="689">
        <f t="shared" si="181"/>
        <v>8.3333333333333339</v>
      </c>
      <c r="AA120" s="689">
        <f t="shared" si="181"/>
        <v>8.3333333333333339</v>
      </c>
      <c r="AB120" s="683">
        <f>SUM(P120:AA120)</f>
        <v>99.999999999999986</v>
      </c>
      <c r="AC120" s="689">
        <v>100</v>
      </c>
      <c r="AD120" s="689">
        <v>100</v>
      </c>
      <c r="AE120" s="689">
        <v>100</v>
      </c>
      <c r="AF120" s="689">
        <v>100</v>
      </c>
      <c r="AG120" s="689">
        <v>100</v>
      </c>
      <c r="AH120" s="689">
        <v>100</v>
      </c>
      <c r="AI120" s="689">
        <v>100</v>
      </c>
      <c r="AJ120" s="689">
        <v>100</v>
      </c>
    </row>
    <row r="121" spans="1:36" s="674" customFormat="1" ht="13.15" customHeight="1" x14ac:dyDescent="0.2">
      <c r="A121" s="680" t="s">
        <v>254</v>
      </c>
      <c r="B121" s="681"/>
      <c r="C121" s="690">
        <f t="shared" ref="C121:N121" si="182">C119*C120</f>
        <v>0</v>
      </c>
      <c r="D121" s="690">
        <f t="shared" si="182"/>
        <v>0</v>
      </c>
      <c r="E121" s="690">
        <f t="shared" si="182"/>
        <v>0</v>
      </c>
      <c r="F121" s="690">
        <f t="shared" si="182"/>
        <v>0</v>
      </c>
      <c r="G121" s="690">
        <f t="shared" si="182"/>
        <v>0</v>
      </c>
      <c r="H121" s="690">
        <f t="shared" si="182"/>
        <v>0</v>
      </c>
      <c r="I121" s="690">
        <f t="shared" si="182"/>
        <v>0</v>
      </c>
      <c r="J121" s="690">
        <f t="shared" si="182"/>
        <v>0</v>
      </c>
      <c r="K121" s="690">
        <f t="shared" si="182"/>
        <v>0</v>
      </c>
      <c r="L121" s="690">
        <f t="shared" si="182"/>
        <v>0</v>
      </c>
      <c r="M121" s="690">
        <f t="shared" si="182"/>
        <v>0</v>
      </c>
      <c r="N121" s="690">
        <f t="shared" si="182"/>
        <v>0</v>
      </c>
      <c r="O121" s="683">
        <f>SUM(C121:N121)</f>
        <v>0</v>
      </c>
      <c r="P121" s="690">
        <f t="shared" ref="P121:AA121" si="183">P119*P120</f>
        <v>0</v>
      </c>
      <c r="Q121" s="690">
        <f t="shared" si="183"/>
        <v>0</v>
      </c>
      <c r="R121" s="690">
        <f t="shared" si="183"/>
        <v>0</v>
      </c>
      <c r="S121" s="690">
        <f t="shared" si="183"/>
        <v>0</v>
      </c>
      <c r="T121" s="690">
        <f t="shared" si="183"/>
        <v>0</v>
      </c>
      <c r="U121" s="690">
        <f t="shared" si="183"/>
        <v>0</v>
      </c>
      <c r="V121" s="690">
        <f t="shared" si="183"/>
        <v>0</v>
      </c>
      <c r="W121" s="690">
        <f t="shared" si="183"/>
        <v>0</v>
      </c>
      <c r="X121" s="690">
        <f t="shared" si="183"/>
        <v>0</v>
      </c>
      <c r="Y121" s="690">
        <f t="shared" si="183"/>
        <v>0</v>
      </c>
      <c r="Z121" s="690">
        <f t="shared" si="183"/>
        <v>0</v>
      </c>
      <c r="AA121" s="690">
        <f t="shared" si="183"/>
        <v>0</v>
      </c>
      <c r="AB121" s="690">
        <f>SUM(P121:AA121)</f>
        <v>0</v>
      </c>
      <c r="AC121" s="690">
        <f t="shared" ref="AC121:AJ121" si="184">AC119*AC120</f>
        <v>0</v>
      </c>
      <c r="AD121" s="690">
        <f t="shared" si="184"/>
        <v>0</v>
      </c>
      <c r="AE121" s="690">
        <f t="shared" si="184"/>
        <v>0</v>
      </c>
      <c r="AF121" s="690">
        <f t="shared" si="184"/>
        <v>0</v>
      </c>
      <c r="AG121" s="690">
        <f t="shared" si="184"/>
        <v>0</v>
      </c>
      <c r="AH121" s="690">
        <f t="shared" si="184"/>
        <v>0</v>
      </c>
      <c r="AI121" s="690">
        <f t="shared" si="184"/>
        <v>0</v>
      </c>
      <c r="AJ121" s="690">
        <f t="shared" si="184"/>
        <v>0</v>
      </c>
    </row>
    <row r="122" spans="1:36" s="674" customFormat="1" ht="13.15" customHeight="1" x14ac:dyDescent="0.2">
      <c r="A122" s="680" t="s">
        <v>249</v>
      </c>
      <c r="B122" s="681"/>
      <c r="C122" s="686">
        <f>C116</f>
        <v>3.5</v>
      </c>
      <c r="D122" s="686">
        <f t="shared" ref="D122:AJ122" si="185">D116</f>
        <v>3.5</v>
      </c>
      <c r="E122" s="686">
        <f t="shared" si="185"/>
        <v>3.5</v>
      </c>
      <c r="F122" s="686">
        <f t="shared" si="185"/>
        <v>3.5</v>
      </c>
      <c r="G122" s="686">
        <f t="shared" si="185"/>
        <v>3.5</v>
      </c>
      <c r="H122" s="686">
        <f t="shared" si="185"/>
        <v>3.5</v>
      </c>
      <c r="I122" s="686">
        <f t="shared" si="185"/>
        <v>3.5</v>
      </c>
      <c r="J122" s="686">
        <f t="shared" si="185"/>
        <v>3.5</v>
      </c>
      <c r="K122" s="686">
        <f t="shared" si="185"/>
        <v>3.5</v>
      </c>
      <c r="L122" s="686">
        <f t="shared" si="185"/>
        <v>3.5</v>
      </c>
      <c r="M122" s="686">
        <f t="shared" si="185"/>
        <v>3.5</v>
      </c>
      <c r="N122" s="686">
        <f t="shared" si="185"/>
        <v>3.5</v>
      </c>
      <c r="O122" s="686">
        <f t="shared" si="185"/>
        <v>3.5</v>
      </c>
      <c r="P122" s="686">
        <f t="shared" si="185"/>
        <v>3.5</v>
      </c>
      <c r="Q122" s="686">
        <f t="shared" si="185"/>
        <v>3.5</v>
      </c>
      <c r="R122" s="686">
        <f t="shared" si="185"/>
        <v>3.5</v>
      </c>
      <c r="S122" s="686">
        <f t="shared" si="185"/>
        <v>3.5</v>
      </c>
      <c r="T122" s="686">
        <f t="shared" si="185"/>
        <v>3.5</v>
      </c>
      <c r="U122" s="686">
        <f t="shared" si="185"/>
        <v>3.5</v>
      </c>
      <c r="V122" s="686">
        <f t="shared" si="185"/>
        <v>3.5</v>
      </c>
      <c r="W122" s="686">
        <f t="shared" si="185"/>
        <v>3.5</v>
      </c>
      <c r="X122" s="686">
        <f t="shared" si="185"/>
        <v>3.5</v>
      </c>
      <c r="Y122" s="686">
        <f t="shared" si="185"/>
        <v>3.5</v>
      </c>
      <c r="Z122" s="686">
        <f t="shared" si="185"/>
        <v>3.5</v>
      </c>
      <c r="AA122" s="686">
        <f t="shared" si="185"/>
        <v>3.5</v>
      </c>
      <c r="AB122" s="686">
        <f t="shared" si="185"/>
        <v>3.5</v>
      </c>
      <c r="AC122" s="686">
        <f t="shared" si="185"/>
        <v>3.5</v>
      </c>
      <c r="AD122" s="686">
        <f t="shared" si="185"/>
        <v>3.5</v>
      </c>
      <c r="AE122" s="686">
        <f t="shared" si="185"/>
        <v>3.5</v>
      </c>
      <c r="AF122" s="686">
        <f t="shared" si="185"/>
        <v>3.5</v>
      </c>
      <c r="AG122" s="686">
        <f t="shared" si="185"/>
        <v>3.5</v>
      </c>
      <c r="AH122" s="686">
        <f t="shared" si="185"/>
        <v>3.5</v>
      </c>
      <c r="AI122" s="686">
        <f t="shared" si="185"/>
        <v>3.5</v>
      </c>
      <c r="AJ122" s="686">
        <f t="shared" si="185"/>
        <v>3.5</v>
      </c>
    </row>
    <row r="123" spans="1:36" s="674" customFormat="1" ht="13.15" customHeight="1" x14ac:dyDescent="0.2">
      <c r="A123" s="680" t="s">
        <v>255</v>
      </c>
      <c r="B123" s="681"/>
      <c r="C123" s="690">
        <f t="shared" ref="C123:N123" si="186">C121*C122</f>
        <v>0</v>
      </c>
      <c r="D123" s="690">
        <f t="shared" si="186"/>
        <v>0</v>
      </c>
      <c r="E123" s="690">
        <f t="shared" si="186"/>
        <v>0</v>
      </c>
      <c r="F123" s="690">
        <f t="shared" si="186"/>
        <v>0</v>
      </c>
      <c r="G123" s="690">
        <f t="shared" si="186"/>
        <v>0</v>
      </c>
      <c r="H123" s="690">
        <f t="shared" si="186"/>
        <v>0</v>
      </c>
      <c r="I123" s="690">
        <f t="shared" si="186"/>
        <v>0</v>
      </c>
      <c r="J123" s="690">
        <f t="shared" si="186"/>
        <v>0</v>
      </c>
      <c r="K123" s="690">
        <f t="shared" si="186"/>
        <v>0</v>
      </c>
      <c r="L123" s="690">
        <f t="shared" si="186"/>
        <v>0</v>
      </c>
      <c r="M123" s="690">
        <f t="shared" si="186"/>
        <v>0</v>
      </c>
      <c r="N123" s="690">
        <f t="shared" si="186"/>
        <v>0</v>
      </c>
      <c r="O123" s="691">
        <f>SUM(C123:N123)</f>
        <v>0</v>
      </c>
      <c r="P123" s="690">
        <f t="shared" ref="P123:AA123" si="187">P121*P122</f>
        <v>0</v>
      </c>
      <c r="Q123" s="690">
        <f t="shared" si="187"/>
        <v>0</v>
      </c>
      <c r="R123" s="690">
        <f t="shared" si="187"/>
        <v>0</v>
      </c>
      <c r="S123" s="690">
        <f t="shared" si="187"/>
        <v>0</v>
      </c>
      <c r="T123" s="690">
        <f t="shared" si="187"/>
        <v>0</v>
      </c>
      <c r="U123" s="690">
        <f t="shared" si="187"/>
        <v>0</v>
      </c>
      <c r="V123" s="690">
        <f t="shared" si="187"/>
        <v>0</v>
      </c>
      <c r="W123" s="690">
        <f t="shared" si="187"/>
        <v>0</v>
      </c>
      <c r="X123" s="690">
        <f t="shared" si="187"/>
        <v>0</v>
      </c>
      <c r="Y123" s="690">
        <f t="shared" si="187"/>
        <v>0</v>
      </c>
      <c r="Z123" s="690">
        <f t="shared" si="187"/>
        <v>0</v>
      </c>
      <c r="AA123" s="690">
        <f t="shared" si="187"/>
        <v>0</v>
      </c>
      <c r="AB123" s="691">
        <f>SUM(P123:AA123)</f>
        <v>0</v>
      </c>
      <c r="AC123" s="690">
        <f t="shared" ref="AC123:AJ123" si="188">AC121*AC122</f>
        <v>0</v>
      </c>
      <c r="AD123" s="690">
        <f t="shared" si="188"/>
        <v>0</v>
      </c>
      <c r="AE123" s="690">
        <f t="shared" si="188"/>
        <v>0</v>
      </c>
      <c r="AF123" s="690">
        <f t="shared" si="188"/>
        <v>0</v>
      </c>
      <c r="AG123" s="690">
        <f t="shared" si="188"/>
        <v>0</v>
      </c>
      <c r="AH123" s="690">
        <f t="shared" si="188"/>
        <v>0</v>
      </c>
      <c r="AI123" s="690">
        <f t="shared" si="188"/>
        <v>0</v>
      </c>
      <c r="AJ123" s="690">
        <f t="shared" si="188"/>
        <v>0</v>
      </c>
    </row>
    <row r="124" spans="1:36" s="674" customFormat="1" ht="13.15" customHeight="1" x14ac:dyDescent="0.2">
      <c r="B124" s="681"/>
      <c r="C124" s="682"/>
      <c r="D124" s="682"/>
      <c r="E124" s="682"/>
      <c r="F124" s="682"/>
      <c r="G124" s="682"/>
      <c r="H124" s="682"/>
      <c r="I124" s="682"/>
      <c r="J124" s="682"/>
      <c r="K124" s="682"/>
      <c r="L124" s="682"/>
      <c r="M124" s="682"/>
      <c r="N124" s="682"/>
      <c r="O124" s="683"/>
      <c r="P124" s="682"/>
      <c r="Q124" s="682"/>
      <c r="R124" s="682"/>
      <c r="S124" s="682"/>
      <c r="T124" s="682"/>
      <c r="U124" s="682"/>
      <c r="V124" s="682"/>
      <c r="W124" s="682"/>
      <c r="X124" s="682"/>
      <c r="Y124" s="682"/>
      <c r="Z124" s="682"/>
      <c r="AA124" s="682"/>
      <c r="AB124" s="683"/>
      <c r="AC124" s="683"/>
      <c r="AD124" s="683"/>
      <c r="AE124" s="683"/>
    </row>
    <row r="125" spans="1:36" s="674" customFormat="1" ht="13.15" customHeight="1" x14ac:dyDescent="0.2">
      <c r="A125" s="680" t="s">
        <v>256</v>
      </c>
      <c r="B125" s="681"/>
      <c r="C125" s="689">
        <v>0</v>
      </c>
      <c r="D125" s="689">
        <v>0</v>
      </c>
      <c r="E125" s="689">
        <v>0</v>
      </c>
      <c r="F125" s="689">
        <v>0</v>
      </c>
      <c r="G125" s="689">
        <v>0</v>
      </c>
      <c r="H125" s="689">
        <v>0</v>
      </c>
      <c r="I125" s="689">
        <v>0</v>
      </c>
      <c r="J125" s="689">
        <v>0</v>
      </c>
      <c r="K125" s="689">
        <v>0</v>
      </c>
      <c r="L125" s="689">
        <v>0</v>
      </c>
      <c r="M125" s="689">
        <v>0</v>
      </c>
      <c r="N125" s="689">
        <v>0</v>
      </c>
      <c r="O125" s="690">
        <f>N125</f>
        <v>0</v>
      </c>
      <c r="P125" s="689">
        <f>N125</f>
        <v>0</v>
      </c>
      <c r="Q125" s="689">
        <f>P125</f>
        <v>0</v>
      </c>
      <c r="R125" s="689">
        <f t="shared" ref="R125:AA125" si="189">Q125</f>
        <v>0</v>
      </c>
      <c r="S125" s="689">
        <f t="shared" si="189"/>
        <v>0</v>
      </c>
      <c r="T125" s="689">
        <f t="shared" si="189"/>
        <v>0</v>
      </c>
      <c r="U125" s="689">
        <f t="shared" si="189"/>
        <v>0</v>
      </c>
      <c r="V125" s="689">
        <f t="shared" si="189"/>
        <v>0</v>
      </c>
      <c r="W125" s="689">
        <f t="shared" si="189"/>
        <v>0</v>
      </c>
      <c r="X125" s="689">
        <f t="shared" si="189"/>
        <v>0</v>
      </c>
      <c r="Y125" s="689">
        <f t="shared" si="189"/>
        <v>0</v>
      </c>
      <c r="Z125" s="689">
        <f t="shared" si="189"/>
        <v>0</v>
      </c>
      <c r="AA125" s="689">
        <f t="shared" si="189"/>
        <v>0</v>
      </c>
      <c r="AB125" s="690">
        <f>AA125</f>
        <v>0</v>
      </c>
      <c r="AC125" s="689">
        <f>AA125</f>
        <v>0</v>
      </c>
      <c r="AD125" s="689">
        <f>AC125</f>
        <v>0</v>
      </c>
      <c r="AE125" s="689">
        <f t="shared" ref="AE125:AJ125" si="190">AD125</f>
        <v>0</v>
      </c>
      <c r="AF125" s="689">
        <f t="shared" si="190"/>
        <v>0</v>
      </c>
      <c r="AG125" s="689">
        <f t="shared" si="190"/>
        <v>0</v>
      </c>
      <c r="AH125" s="689">
        <f t="shared" si="190"/>
        <v>0</v>
      </c>
      <c r="AI125" s="689">
        <f t="shared" si="190"/>
        <v>0</v>
      </c>
      <c r="AJ125" s="689">
        <f t="shared" si="190"/>
        <v>0</v>
      </c>
    </row>
    <row r="126" spans="1:36" s="674" customFormat="1" ht="13.15" customHeight="1" x14ac:dyDescent="0.2">
      <c r="A126" s="680" t="s">
        <v>252</v>
      </c>
      <c r="B126" s="681"/>
      <c r="C126" s="689">
        <f>300/12</f>
        <v>25</v>
      </c>
      <c r="D126" s="689">
        <f t="shared" ref="D126:N126" si="191">300/12</f>
        <v>25</v>
      </c>
      <c r="E126" s="689">
        <f t="shared" si="191"/>
        <v>25</v>
      </c>
      <c r="F126" s="689">
        <f t="shared" si="191"/>
        <v>25</v>
      </c>
      <c r="G126" s="689">
        <f t="shared" si="191"/>
        <v>25</v>
      </c>
      <c r="H126" s="689">
        <f t="shared" si="191"/>
        <v>25</v>
      </c>
      <c r="I126" s="689">
        <f t="shared" si="191"/>
        <v>25</v>
      </c>
      <c r="J126" s="689">
        <f t="shared" si="191"/>
        <v>25</v>
      </c>
      <c r="K126" s="689">
        <f t="shared" si="191"/>
        <v>25</v>
      </c>
      <c r="L126" s="689">
        <f t="shared" si="191"/>
        <v>25</v>
      </c>
      <c r="M126" s="689">
        <f t="shared" si="191"/>
        <v>25</v>
      </c>
      <c r="N126" s="689">
        <f t="shared" si="191"/>
        <v>25</v>
      </c>
      <c r="O126" s="683">
        <f>SUM(C126:N126)</f>
        <v>300</v>
      </c>
      <c r="P126" s="689">
        <f>300/12</f>
        <v>25</v>
      </c>
      <c r="Q126" s="689">
        <f t="shared" ref="Q126:AA126" si="192">300/12</f>
        <v>25</v>
      </c>
      <c r="R126" s="689">
        <f t="shared" si="192"/>
        <v>25</v>
      </c>
      <c r="S126" s="689">
        <f t="shared" si="192"/>
        <v>25</v>
      </c>
      <c r="T126" s="689">
        <f t="shared" si="192"/>
        <v>25</v>
      </c>
      <c r="U126" s="689">
        <f t="shared" si="192"/>
        <v>25</v>
      </c>
      <c r="V126" s="689">
        <f t="shared" si="192"/>
        <v>25</v>
      </c>
      <c r="W126" s="689">
        <f t="shared" si="192"/>
        <v>25</v>
      </c>
      <c r="X126" s="689">
        <f t="shared" si="192"/>
        <v>25</v>
      </c>
      <c r="Y126" s="689">
        <f t="shared" si="192"/>
        <v>25</v>
      </c>
      <c r="Z126" s="689">
        <f t="shared" si="192"/>
        <v>25</v>
      </c>
      <c r="AA126" s="689">
        <f t="shared" si="192"/>
        <v>25</v>
      </c>
      <c r="AB126" s="683">
        <f>SUM(P126:AA126)</f>
        <v>300</v>
      </c>
      <c r="AC126" s="689">
        <v>300</v>
      </c>
      <c r="AD126" s="689">
        <v>300</v>
      </c>
      <c r="AE126" s="689">
        <v>300</v>
      </c>
      <c r="AF126" s="689">
        <v>300</v>
      </c>
      <c r="AG126" s="689">
        <v>300</v>
      </c>
      <c r="AH126" s="689">
        <v>300</v>
      </c>
      <c r="AI126" s="689">
        <v>300</v>
      </c>
      <c r="AJ126" s="689">
        <v>300</v>
      </c>
    </row>
    <row r="127" spans="1:36" s="674" customFormat="1" ht="13.15" customHeight="1" x14ac:dyDescent="0.2">
      <c r="A127" s="680" t="s">
        <v>254</v>
      </c>
      <c r="B127" s="681"/>
      <c r="C127" s="690">
        <f t="shared" ref="C127:N127" si="193">C125*C126</f>
        <v>0</v>
      </c>
      <c r="D127" s="690">
        <f t="shared" si="193"/>
        <v>0</v>
      </c>
      <c r="E127" s="690">
        <f t="shared" si="193"/>
        <v>0</v>
      </c>
      <c r="F127" s="690">
        <f t="shared" si="193"/>
        <v>0</v>
      </c>
      <c r="G127" s="690">
        <f t="shared" si="193"/>
        <v>0</v>
      </c>
      <c r="H127" s="690">
        <f t="shared" si="193"/>
        <v>0</v>
      </c>
      <c r="I127" s="690">
        <f t="shared" si="193"/>
        <v>0</v>
      </c>
      <c r="J127" s="690">
        <f t="shared" si="193"/>
        <v>0</v>
      </c>
      <c r="K127" s="690">
        <f t="shared" si="193"/>
        <v>0</v>
      </c>
      <c r="L127" s="690">
        <f t="shared" si="193"/>
        <v>0</v>
      </c>
      <c r="M127" s="690">
        <f t="shared" si="193"/>
        <v>0</v>
      </c>
      <c r="N127" s="690">
        <f t="shared" si="193"/>
        <v>0</v>
      </c>
      <c r="O127" s="683">
        <f>SUM(C127:N127)</f>
        <v>0</v>
      </c>
      <c r="P127" s="690">
        <f t="shared" ref="P127:AA127" si="194">P125*P126</f>
        <v>0</v>
      </c>
      <c r="Q127" s="690">
        <f t="shared" si="194"/>
        <v>0</v>
      </c>
      <c r="R127" s="690">
        <f t="shared" si="194"/>
        <v>0</v>
      </c>
      <c r="S127" s="690">
        <f t="shared" si="194"/>
        <v>0</v>
      </c>
      <c r="T127" s="690">
        <f t="shared" si="194"/>
        <v>0</v>
      </c>
      <c r="U127" s="690">
        <f t="shared" si="194"/>
        <v>0</v>
      </c>
      <c r="V127" s="690">
        <f t="shared" si="194"/>
        <v>0</v>
      </c>
      <c r="W127" s="690">
        <f t="shared" si="194"/>
        <v>0</v>
      </c>
      <c r="X127" s="690">
        <f t="shared" si="194"/>
        <v>0</v>
      </c>
      <c r="Y127" s="690">
        <f t="shared" si="194"/>
        <v>0</v>
      </c>
      <c r="Z127" s="690">
        <f t="shared" si="194"/>
        <v>0</v>
      </c>
      <c r="AA127" s="690">
        <f t="shared" si="194"/>
        <v>0</v>
      </c>
      <c r="AB127" s="683">
        <f>SUM(P127:AA127)</f>
        <v>0</v>
      </c>
      <c r="AC127" s="690">
        <f t="shared" ref="AC127:AJ127" si="195">AC125*AC126</f>
        <v>0</v>
      </c>
      <c r="AD127" s="690">
        <f t="shared" si="195"/>
        <v>0</v>
      </c>
      <c r="AE127" s="690">
        <f t="shared" si="195"/>
        <v>0</v>
      </c>
      <c r="AF127" s="690">
        <f t="shared" si="195"/>
        <v>0</v>
      </c>
      <c r="AG127" s="690">
        <f t="shared" si="195"/>
        <v>0</v>
      </c>
      <c r="AH127" s="690">
        <f t="shared" si="195"/>
        <v>0</v>
      </c>
      <c r="AI127" s="690">
        <f t="shared" si="195"/>
        <v>0</v>
      </c>
      <c r="AJ127" s="690">
        <f t="shared" si="195"/>
        <v>0</v>
      </c>
    </row>
    <row r="128" spans="1:36" s="674" customFormat="1" ht="13.15" customHeight="1" x14ac:dyDescent="0.2">
      <c r="A128" s="680" t="s">
        <v>249</v>
      </c>
      <c r="B128" s="681"/>
      <c r="C128" s="686">
        <f>C116</f>
        <v>3.5</v>
      </c>
      <c r="D128" s="686">
        <f t="shared" ref="D128:AJ128" si="196">D116</f>
        <v>3.5</v>
      </c>
      <c r="E128" s="686">
        <f t="shared" si="196"/>
        <v>3.5</v>
      </c>
      <c r="F128" s="686">
        <f t="shared" si="196"/>
        <v>3.5</v>
      </c>
      <c r="G128" s="686">
        <f t="shared" si="196"/>
        <v>3.5</v>
      </c>
      <c r="H128" s="686">
        <f t="shared" si="196"/>
        <v>3.5</v>
      </c>
      <c r="I128" s="686">
        <f t="shared" si="196"/>
        <v>3.5</v>
      </c>
      <c r="J128" s="686">
        <f t="shared" si="196"/>
        <v>3.5</v>
      </c>
      <c r="K128" s="686">
        <f t="shared" si="196"/>
        <v>3.5</v>
      </c>
      <c r="L128" s="686">
        <f t="shared" si="196"/>
        <v>3.5</v>
      </c>
      <c r="M128" s="686">
        <f t="shared" si="196"/>
        <v>3.5</v>
      </c>
      <c r="N128" s="686">
        <f t="shared" si="196"/>
        <v>3.5</v>
      </c>
      <c r="O128" s="686">
        <f t="shared" si="196"/>
        <v>3.5</v>
      </c>
      <c r="P128" s="686">
        <f t="shared" si="196"/>
        <v>3.5</v>
      </c>
      <c r="Q128" s="686">
        <f t="shared" si="196"/>
        <v>3.5</v>
      </c>
      <c r="R128" s="686">
        <f t="shared" si="196"/>
        <v>3.5</v>
      </c>
      <c r="S128" s="686">
        <f t="shared" si="196"/>
        <v>3.5</v>
      </c>
      <c r="T128" s="686">
        <f t="shared" si="196"/>
        <v>3.5</v>
      </c>
      <c r="U128" s="686">
        <f t="shared" si="196"/>
        <v>3.5</v>
      </c>
      <c r="V128" s="686">
        <f t="shared" si="196"/>
        <v>3.5</v>
      </c>
      <c r="W128" s="686">
        <f t="shared" si="196"/>
        <v>3.5</v>
      </c>
      <c r="X128" s="686">
        <f t="shared" si="196"/>
        <v>3.5</v>
      </c>
      <c r="Y128" s="686">
        <f t="shared" si="196"/>
        <v>3.5</v>
      </c>
      <c r="Z128" s="686">
        <f t="shared" si="196"/>
        <v>3.5</v>
      </c>
      <c r="AA128" s="686">
        <f t="shared" si="196"/>
        <v>3.5</v>
      </c>
      <c r="AB128" s="686">
        <f t="shared" si="196"/>
        <v>3.5</v>
      </c>
      <c r="AC128" s="686">
        <f t="shared" si="196"/>
        <v>3.5</v>
      </c>
      <c r="AD128" s="686">
        <f t="shared" si="196"/>
        <v>3.5</v>
      </c>
      <c r="AE128" s="686">
        <f t="shared" si="196"/>
        <v>3.5</v>
      </c>
      <c r="AF128" s="686">
        <f t="shared" si="196"/>
        <v>3.5</v>
      </c>
      <c r="AG128" s="686">
        <f t="shared" si="196"/>
        <v>3.5</v>
      </c>
      <c r="AH128" s="686">
        <f t="shared" si="196"/>
        <v>3.5</v>
      </c>
      <c r="AI128" s="686">
        <f t="shared" si="196"/>
        <v>3.5</v>
      </c>
      <c r="AJ128" s="686">
        <f t="shared" si="196"/>
        <v>3.5</v>
      </c>
    </row>
    <row r="129" spans="1:37" s="674" customFormat="1" ht="13.15" customHeight="1" x14ac:dyDescent="0.2">
      <c r="A129" s="680" t="s">
        <v>255</v>
      </c>
      <c r="B129" s="681"/>
      <c r="C129" s="690">
        <f t="shared" ref="C129:N129" si="197">C127*C128</f>
        <v>0</v>
      </c>
      <c r="D129" s="690">
        <f t="shared" si="197"/>
        <v>0</v>
      </c>
      <c r="E129" s="690">
        <f t="shared" si="197"/>
        <v>0</v>
      </c>
      <c r="F129" s="690">
        <f t="shared" si="197"/>
        <v>0</v>
      </c>
      <c r="G129" s="690">
        <f t="shared" si="197"/>
        <v>0</v>
      </c>
      <c r="H129" s="690">
        <f t="shared" si="197"/>
        <v>0</v>
      </c>
      <c r="I129" s="690">
        <f t="shared" si="197"/>
        <v>0</v>
      </c>
      <c r="J129" s="690">
        <f t="shared" si="197"/>
        <v>0</v>
      </c>
      <c r="K129" s="690">
        <f t="shared" si="197"/>
        <v>0</v>
      </c>
      <c r="L129" s="690">
        <f t="shared" si="197"/>
        <v>0</v>
      </c>
      <c r="M129" s="690">
        <f t="shared" si="197"/>
        <v>0</v>
      </c>
      <c r="N129" s="690">
        <f t="shared" si="197"/>
        <v>0</v>
      </c>
      <c r="O129" s="691">
        <f>SUM(C129:N129)</f>
        <v>0</v>
      </c>
      <c r="P129" s="690">
        <f t="shared" ref="P129:AA129" si="198">P127*P128</f>
        <v>0</v>
      </c>
      <c r="Q129" s="690">
        <f t="shared" si="198"/>
        <v>0</v>
      </c>
      <c r="R129" s="690">
        <f t="shared" si="198"/>
        <v>0</v>
      </c>
      <c r="S129" s="690">
        <f t="shared" si="198"/>
        <v>0</v>
      </c>
      <c r="T129" s="690">
        <f t="shared" si="198"/>
        <v>0</v>
      </c>
      <c r="U129" s="690">
        <f t="shared" si="198"/>
        <v>0</v>
      </c>
      <c r="V129" s="690">
        <f t="shared" si="198"/>
        <v>0</v>
      </c>
      <c r="W129" s="690">
        <f t="shared" si="198"/>
        <v>0</v>
      </c>
      <c r="X129" s="690">
        <f t="shared" si="198"/>
        <v>0</v>
      </c>
      <c r="Y129" s="690">
        <f t="shared" si="198"/>
        <v>0</v>
      </c>
      <c r="Z129" s="690">
        <f t="shared" si="198"/>
        <v>0</v>
      </c>
      <c r="AA129" s="690">
        <f t="shared" si="198"/>
        <v>0</v>
      </c>
      <c r="AB129" s="691">
        <f>SUM(P129:AA129)</f>
        <v>0</v>
      </c>
      <c r="AC129" s="690">
        <f t="shared" ref="AC129:AJ129" si="199">AC127*AC128</f>
        <v>0</v>
      </c>
      <c r="AD129" s="690">
        <f t="shared" si="199"/>
        <v>0</v>
      </c>
      <c r="AE129" s="690">
        <f t="shared" si="199"/>
        <v>0</v>
      </c>
      <c r="AF129" s="690">
        <f t="shared" si="199"/>
        <v>0</v>
      </c>
      <c r="AG129" s="690">
        <f t="shared" si="199"/>
        <v>0</v>
      </c>
      <c r="AH129" s="690">
        <f t="shared" si="199"/>
        <v>0</v>
      </c>
      <c r="AI129" s="690">
        <f t="shared" si="199"/>
        <v>0</v>
      </c>
      <c r="AJ129" s="690">
        <f t="shared" si="199"/>
        <v>0</v>
      </c>
    </row>
    <row r="130" spans="1:37" s="674" customFormat="1" ht="13.15" customHeight="1" x14ac:dyDescent="0.2">
      <c r="A130" s="680"/>
      <c r="B130" s="681"/>
      <c r="C130" s="682"/>
      <c r="D130" s="682"/>
      <c r="E130" s="682"/>
      <c r="F130" s="682"/>
      <c r="G130" s="682"/>
      <c r="H130" s="682"/>
      <c r="I130" s="682"/>
      <c r="J130" s="682"/>
      <c r="K130" s="682"/>
      <c r="L130" s="682"/>
      <c r="M130" s="682"/>
      <c r="N130" s="682"/>
      <c r="O130" s="683"/>
      <c r="P130" s="682"/>
      <c r="Q130" s="682"/>
      <c r="R130" s="682"/>
      <c r="S130" s="682"/>
      <c r="T130" s="682"/>
      <c r="U130" s="682"/>
      <c r="V130" s="682"/>
      <c r="W130" s="682"/>
      <c r="X130" s="682"/>
      <c r="Y130" s="682"/>
      <c r="Z130" s="682"/>
      <c r="AA130" s="682"/>
      <c r="AB130" s="683"/>
      <c r="AC130" s="683"/>
      <c r="AD130" s="683"/>
      <c r="AE130" s="683"/>
    </row>
    <row r="131" spans="1:37" s="684" customFormat="1" ht="13.15" customHeight="1" x14ac:dyDescent="0.2">
      <c r="A131" s="676" t="s">
        <v>257</v>
      </c>
      <c r="B131" s="677"/>
      <c r="C131" s="694">
        <f>C117+C123+C129</f>
        <v>0</v>
      </c>
      <c r="D131" s="694">
        <f t="shared" ref="D131:N131" si="200">D117+D123+D129</f>
        <v>0</v>
      </c>
      <c r="E131" s="694">
        <f t="shared" si="200"/>
        <v>0</v>
      </c>
      <c r="F131" s="694">
        <f t="shared" si="200"/>
        <v>0</v>
      </c>
      <c r="G131" s="694">
        <f t="shared" si="200"/>
        <v>0</v>
      </c>
      <c r="H131" s="694">
        <f t="shared" si="200"/>
        <v>0</v>
      </c>
      <c r="I131" s="694">
        <f t="shared" si="200"/>
        <v>0</v>
      </c>
      <c r="J131" s="694">
        <f t="shared" si="200"/>
        <v>0</v>
      </c>
      <c r="K131" s="694">
        <f t="shared" si="200"/>
        <v>0</v>
      </c>
      <c r="L131" s="694">
        <f t="shared" si="200"/>
        <v>0</v>
      </c>
      <c r="M131" s="694">
        <f t="shared" si="200"/>
        <v>0</v>
      </c>
      <c r="N131" s="694">
        <f t="shared" si="200"/>
        <v>0</v>
      </c>
      <c r="O131" s="679">
        <f>SUM(C131:N131)</f>
        <v>0</v>
      </c>
      <c r="P131" s="694">
        <f t="shared" ref="P131:AA131" si="201">P117+P123+P129</f>
        <v>0</v>
      </c>
      <c r="Q131" s="694">
        <f t="shared" si="201"/>
        <v>0</v>
      </c>
      <c r="R131" s="694">
        <f t="shared" si="201"/>
        <v>0</v>
      </c>
      <c r="S131" s="694">
        <f t="shared" si="201"/>
        <v>0</v>
      </c>
      <c r="T131" s="694">
        <f t="shared" si="201"/>
        <v>0</v>
      </c>
      <c r="U131" s="694">
        <f t="shared" si="201"/>
        <v>0</v>
      </c>
      <c r="V131" s="694">
        <f t="shared" si="201"/>
        <v>15.3125</v>
      </c>
      <c r="W131" s="694">
        <f t="shared" si="201"/>
        <v>30.625</v>
      </c>
      <c r="X131" s="694">
        <f t="shared" si="201"/>
        <v>45.9375</v>
      </c>
      <c r="Y131" s="694">
        <f t="shared" si="201"/>
        <v>61.25</v>
      </c>
      <c r="Z131" s="694">
        <f t="shared" si="201"/>
        <v>76.5625</v>
      </c>
      <c r="AA131" s="694">
        <f t="shared" si="201"/>
        <v>91.875</v>
      </c>
      <c r="AB131" s="694">
        <f>SUM(P131:AA131)</f>
        <v>321.5625</v>
      </c>
      <c r="AC131" s="694">
        <f t="shared" ref="AC131:AJ131" si="202">AC117+AC123+AC129</f>
        <v>2315.25</v>
      </c>
      <c r="AD131" s="694">
        <f t="shared" si="202"/>
        <v>5417.6849999999995</v>
      </c>
      <c r="AE131" s="694">
        <f t="shared" si="202"/>
        <v>11160.4311</v>
      </c>
      <c r="AF131" s="694">
        <f t="shared" si="202"/>
        <v>19183.541012999998</v>
      </c>
      <c r="AG131" s="694">
        <f t="shared" si="202"/>
        <v>25549.9469316</v>
      </c>
      <c r="AH131" s="694">
        <f t="shared" si="202"/>
        <v>29808.271420200002</v>
      </c>
      <c r="AI131" s="694">
        <f t="shared" si="202"/>
        <v>34066.595908799995</v>
      </c>
      <c r="AJ131" s="694">
        <f t="shared" si="202"/>
        <v>38324.920397399997</v>
      </c>
    </row>
    <row r="132" spans="1:37" s="674" customFormat="1" ht="13.15" customHeight="1" x14ac:dyDescent="0.2">
      <c r="A132" s="680"/>
      <c r="B132" s="681"/>
      <c r="C132" s="682"/>
      <c r="D132" s="682"/>
      <c r="E132" s="682"/>
      <c r="F132" s="682"/>
      <c r="G132" s="682"/>
      <c r="H132" s="682"/>
      <c r="I132" s="682"/>
      <c r="J132" s="682"/>
      <c r="K132" s="682"/>
      <c r="L132" s="682"/>
      <c r="M132" s="682"/>
      <c r="N132" s="682"/>
      <c r="O132" s="683"/>
      <c r="P132" s="682"/>
      <c r="Q132" s="682"/>
      <c r="R132" s="682"/>
      <c r="S132" s="682"/>
      <c r="T132" s="682"/>
      <c r="U132" s="682"/>
      <c r="V132" s="682"/>
      <c r="W132" s="682"/>
      <c r="X132" s="682"/>
      <c r="Y132" s="682"/>
      <c r="Z132" s="682"/>
      <c r="AA132" s="682"/>
      <c r="AB132" s="683"/>
      <c r="AC132" s="683"/>
      <c r="AD132" s="683"/>
      <c r="AE132" s="683"/>
    </row>
    <row r="133" spans="1:37" s="674" customFormat="1" ht="13.15" customHeight="1" x14ac:dyDescent="0.2">
      <c r="A133" s="680" t="s">
        <v>258</v>
      </c>
      <c r="B133" s="681"/>
      <c r="C133" s="767">
        <f>C25</f>
        <v>300</v>
      </c>
      <c r="D133" s="767">
        <f t="shared" ref="D133:AJ133" si="203">D25</f>
        <v>300</v>
      </c>
      <c r="E133" s="767">
        <f t="shared" si="203"/>
        <v>300</v>
      </c>
      <c r="F133" s="767">
        <f t="shared" si="203"/>
        <v>300</v>
      </c>
      <c r="G133" s="767">
        <f t="shared" si="203"/>
        <v>300</v>
      </c>
      <c r="H133" s="767">
        <f t="shared" si="203"/>
        <v>300</v>
      </c>
      <c r="I133" s="767">
        <f t="shared" si="203"/>
        <v>300</v>
      </c>
      <c r="J133" s="767">
        <f t="shared" si="203"/>
        <v>300</v>
      </c>
      <c r="K133" s="767">
        <f t="shared" si="203"/>
        <v>300</v>
      </c>
      <c r="L133" s="767">
        <f t="shared" si="203"/>
        <v>300</v>
      </c>
      <c r="M133" s="767">
        <f t="shared" si="203"/>
        <v>300</v>
      </c>
      <c r="N133" s="767">
        <f t="shared" si="203"/>
        <v>300</v>
      </c>
      <c r="O133" s="767">
        <f t="shared" si="203"/>
        <v>300</v>
      </c>
      <c r="P133" s="767">
        <f t="shared" si="203"/>
        <v>300</v>
      </c>
      <c r="Q133" s="767">
        <f t="shared" si="203"/>
        <v>300</v>
      </c>
      <c r="R133" s="767">
        <f t="shared" si="203"/>
        <v>300</v>
      </c>
      <c r="S133" s="767">
        <f t="shared" si="203"/>
        <v>300</v>
      </c>
      <c r="T133" s="767">
        <f t="shared" si="203"/>
        <v>300</v>
      </c>
      <c r="U133" s="767">
        <f t="shared" si="203"/>
        <v>300</v>
      </c>
      <c r="V133" s="767">
        <f t="shared" si="203"/>
        <v>300</v>
      </c>
      <c r="W133" s="767">
        <f t="shared" si="203"/>
        <v>300</v>
      </c>
      <c r="X133" s="767">
        <f t="shared" si="203"/>
        <v>300</v>
      </c>
      <c r="Y133" s="767">
        <f t="shared" si="203"/>
        <v>300</v>
      </c>
      <c r="Z133" s="767">
        <f t="shared" si="203"/>
        <v>300</v>
      </c>
      <c r="AA133" s="767">
        <f t="shared" si="203"/>
        <v>300</v>
      </c>
      <c r="AB133" s="767">
        <f t="shared" si="203"/>
        <v>300</v>
      </c>
      <c r="AC133" s="767">
        <f t="shared" si="203"/>
        <v>300</v>
      </c>
      <c r="AD133" s="767">
        <f t="shared" si="203"/>
        <v>300</v>
      </c>
      <c r="AE133" s="767">
        <f t="shared" si="203"/>
        <v>300</v>
      </c>
      <c r="AF133" s="767">
        <f t="shared" si="203"/>
        <v>300</v>
      </c>
      <c r="AG133" s="767">
        <f t="shared" si="203"/>
        <v>300</v>
      </c>
      <c r="AH133" s="767">
        <f t="shared" si="203"/>
        <v>300</v>
      </c>
      <c r="AI133" s="767">
        <f t="shared" si="203"/>
        <v>300</v>
      </c>
      <c r="AJ133" s="767">
        <f t="shared" si="203"/>
        <v>300</v>
      </c>
      <c r="AK133" s="693"/>
    </row>
    <row r="134" spans="1:37" s="674" customFormat="1" ht="13.15" customHeight="1" x14ac:dyDescent="0.2">
      <c r="A134" s="680"/>
      <c r="B134" s="681"/>
      <c r="C134" s="682"/>
      <c r="D134" s="682"/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3"/>
      <c r="P134" s="682"/>
      <c r="Q134" s="682"/>
      <c r="R134" s="682"/>
      <c r="S134" s="682"/>
      <c r="T134" s="682"/>
      <c r="U134" s="682"/>
      <c r="V134" s="682"/>
      <c r="W134" s="682"/>
      <c r="X134" s="682"/>
      <c r="Y134" s="682"/>
      <c r="Z134" s="682"/>
      <c r="AA134" s="682"/>
      <c r="AB134" s="683"/>
      <c r="AC134" s="683"/>
      <c r="AD134" s="683"/>
      <c r="AE134" s="683"/>
    </row>
    <row r="135" spans="1:37" s="766" customFormat="1" ht="13.15" customHeight="1" x14ac:dyDescent="0.2">
      <c r="A135" s="763" t="s">
        <v>415</v>
      </c>
      <c r="B135" s="764"/>
      <c r="C135" s="765">
        <f>C131*C133</f>
        <v>0</v>
      </c>
      <c r="D135" s="765">
        <f t="shared" ref="D135:N135" si="204">D131*D133</f>
        <v>0</v>
      </c>
      <c r="E135" s="765">
        <f t="shared" si="204"/>
        <v>0</v>
      </c>
      <c r="F135" s="765">
        <f t="shared" si="204"/>
        <v>0</v>
      </c>
      <c r="G135" s="765">
        <f t="shared" si="204"/>
        <v>0</v>
      </c>
      <c r="H135" s="765">
        <f t="shared" si="204"/>
        <v>0</v>
      </c>
      <c r="I135" s="765">
        <f t="shared" si="204"/>
        <v>0</v>
      </c>
      <c r="J135" s="765">
        <f t="shared" si="204"/>
        <v>0</v>
      </c>
      <c r="K135" s="765">
        <f t="shared" si="204"/>
        <v>0</v>
      </c>
      <c r="L135" s="765">
        <f t="shared" si="204"/>
        <v>0</v>
      </c>
      <c r="M135" s="765">
        <f t="shared" si="204"/>
        <v>0</v>
      </c>
      <c r="N135" s="765">
        <f t="shared" si="204"/>
        <v>0</v>
      </c>
      <c r="O135" s="765">
        <f>SUM(C135:N135)</f>
        <v>0</v>
      </c>
      <c r="P135" s="765">
        <f>P131*P133</f>
        <v>0</v>
      </c>
      <c r="Q135" s="765">
        <f t="shared" ref="Q135:AA135" si="205">Q131*Q133</f>
        <v>0</v>
      </c>
      <c r="R135" s="765">
        <f t="shared" si="205"/>
        <v>0</v>
      </c>
      <c r="S135" s="765">
        <f t="shared" si="205"/>
        <v>0</v>
      </c>
      <c r="T135" s="765">
        <f t="shared" si="205"/>
        <v>0</v>
      </c>
      <c r="U135" s="765">
        <f t="shared" si="205"/>
        <v>0</v>
      </c>
      <c r="V135" s="765">
        <f t="shared" si="205"/>
        <v>4593.75</v>
      </c>
      <c r="W135" s="765">
        <f t="shared" si="205"/>
        <v>9187.5</v>
      </c>
      <c r="X135" s="765">
        <f t="shared" si="205"/>
        <v>13781.25</v>
      </c>
      <c r="Y135" s="765">
        <f t="shared" si="205"/>
        <v>18375</v>
      </c>
      <c r="Z135" s="765">
        <f t="shared" si="205"/>
        <v>22968.75</v>
      </c>
      <c r="AA135" s="765">
        <f t="shared" si="205"/>
        <v>27562.5</v>
      </c>
      <c r="AB135" s="765">
        <f>SUM(P135:AA135)</f>
        <v>96468.75</v>
      </c>
      <c r="AC135" s="765">
        <f t="shared" ref="AC135:AJ135" si="206">AC131*AC133</f>
        <v>694575</v>
      </c>
      <c r="AD135" s="765">
        <f t="shared" si="206"/>
        <v>1625305.4999999998</v>
      </c>
      <c r="AE135" s="765">
        <f t="shared" si="206"/>
        <v>3348129.33</v>
      </c>
      <c r="AF135" s="765">
        <f t="shared" si="206"/>
        <v>5755062.3038999997</v>
      </c>
      <c r="AG135" s="765">
        <f t="shared" si="206"/>
        <v>7664984.0794799998</v>
      </c>
      <c r="AH135" s="765">
        <f t="shared" si="206"/>
        <v>8942481.4260600004</v>
      </c>
      <c r="AI135" s="765">
        <f t="shared" si="206"/>
        <v>10219978.772639999</v>
      </c>
      <c r="AJ135" s="765">
        <f t="shared" si="206"/>
        <v>11497476.11922</v>
      </c>
    </row>
    <row r="136" spans="1:37" s="674" customFormat="1" ht="13.15" customHeight="1" x14ac:dyDescent="0.2">
      <c r="A136" s="680"/>
      <c r="B136" s="681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3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3"/>
      <c r="AC136" s="683"/>
      <c r="AD136" s="683"/>
      <c r="AE136" s="683"/>
    </row>
    <row r="137" spans="1:37" s="674" customFormat="1" ht="13.15" customHeight="1" x14ac:dyDescent="0.2">
      <c r="A137" s="680"/>
      <c r="B137" s="681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3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3"/>
      <c r="AC137" s="683"/>
      <c r="AD137" s="683"/>
      <c r="AE137" s="683"/>
    </row>
    <row r="138" spans="1:37" s="674" customFormat="1" ht="13.15" customHeight="1" x14ac:dyDescent="0.2">
      <c r="A138" s="676" t="s">
        <v>445</v>
      </c>
      <c r="B138" s="677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9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  <c r="AA138" s="678"/>
      <c r="AB138" s="679"/>
      <c r="AC138" s="679"/>
      <c r="AD138" s="679"/>
      <c r="AE138" s="679"/>
    </row>
    <row r="139" spans="1:37" s="674" customFormat="1" ht="13.15" customHeight="1" x14ac:dyDescent="0.2">
      <c r="A139" s="674" t="s">
        <v>250</v>
      </c>
      <c r="B139" s="681"/>
      <c r="C139" s="690">
        <f>$O139/12</f>
        <v>3750</v>
      </c>
      <c r="D139" s="690">
        <f t="shared" ref="D139:N139" si="207">$O139/12</f>
        <v>3750</v>
      </c>
      <c r="E139" s="690">
        <f t="shared" si="207"/>
        <v>3750</v>
      </c>
      <c r="F139" s="690">
        <f t="shared" si="207"/>
        <v>3750</v>
      </c>
      <c r="G139" s="690">
        <f t="shared" si="207"/>
        <v>3750</v>
      </c>
      <c r="H139" s="690">
        <f t="shared" si="207"/>
        <v>3750</v>
      </c>
      <c r="I139" s="690">
        <f t="shared" si="207"/>
        <v>3750</v>
      </c>
      <c r="J139" s="690">
        <f t="shared" si="207"/>
        <v>3750</v>
      </c>
      <c r="K139" s="690">
        <f t="shared" si="207"/>
        <v>3750</v>
      </c>
      <c r="L139" s="690">
        <f t="shared" si="207"/>
        <v>3750</v>
      </c>
      <c r="M139" s="690">
        <f t="shared" si="207"/>
        <v>3750</v>
      </c>
      <c r="N139" s="690">
        <f t="shared" si="207"/>
        <v>3750</v>
      </c>
      <c r="O139" s="689">
        <v>45000</v>
      </c>
      <c r="P139" s="690">
        <f>$AB139/12</f>
        <v>3937.5</v>
      </c>
      <c r="Q139" s="690">
        <f t="shared" ref="Q139:AA139" si="208">$AB139/12</f>
        <v>3937.5</v>
      </c>
      <c r="R139" s="690">
        <f t="shared" si="208"/>
        <v>3937.5</v>
      </c>
      <c r="S139" s="690">
        <f t="shared" si="208"/>
        <v>3937.5</v>
      </c>
      <c r="T139" s="690">
        <f t="shared" si="208"/>
        <v>3937.5</v>
      </c>
      <c r="U139" s="690">
        <f t="shared" si="208"/>
        <v>3937.5</v>
      </c>
      <c r="V139" s="690">
        <f t="shared" si="208"/>
        <v>3937.5</v>
      </c>
      <c r="W139" s="690">
        <f t="shared" si="208"/>
        <v>3937.5</v>
      </c>
      <c r="X139" s="690">
        <f t="shared" si="208"/>
        <v>3937.5</v>
      </c>
      <c r="Y139" s="690">
        <f t="shared" si="208"/>
        <v>3937.5</v>
      </c>
      <c r="Z139" s="690">
        <f t="shared" si="208"/>
        <v>3937.5</v>
      </c>
      <c r="AA139" s="690">
        <f t="shared" si="208"/>
        <v>3937.5</v>
      </c>
      <c r="AB139" s="690">
        <f>O139*(1+AB140)</f>
        <v>47250</v>
      </c>
      <c r="AC139" s="690">
        <f t="shared" ref="AC139:AJ139" si="209">AB139*(1+AC140)</f>
        <v>49612.5</v>
      </c>
      <c r="AD139" s="690">
        <f t="shared" si="209"/>
        <v>51597</v>
      </c>
      <c r="AE139" s="690">
        <f t="shared" si="209"/>
        <v>53144.91</v>
      </c>
      <c r="AF139" s="690">
        <f t="shared" si="209"/>
        <v>54207.808200000007</v>
      </c>
      <c r="AG139" s="690">
        <f t="shared" si="209"/>
        <v>54749.886282000007</v>
      </c>
      <c r="AH139" s="690">
        <f t="shared" si="209"/>
        <v>54749.886282000007</v>
      </c>
      <c r="AI139" s="690">
        <f t="shared" si="209"/>
        <v>54749.886282000007</v>
      </c>
      <c r="AJ139" s="690">
        <f t="shared" si="209"/>
        <v>54749.886282000007</v>
      </c>
    </row>
    <row r="140" spans="1:37" s="688" customFormat="1" ht="13.15" customHeight="1" x14ac:dyDescent="0.2">
      <c r="A140" s="680" t="s">
        <v>324</v>
      </c>
      <c r="B140" s="681"/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92"/>
      <c r="P140" s="687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>
        <v>0.05</v>
      </c>
      <c r="AC140" s="687">
        <v>0.05</v>
      </c>
      <c r="AD140" s="687">
        <f>AC140-1%</f>
        <v>0.04</v>
      </c>
      <c r="AE140" s="687">
        <f>AD140-1%</f>
        <v>0.03</v>
      </c>
      <c r="AF140" s="687">
        <f>AE140-1%</f>
        <v>1.9999999999999997E-2</v>
      </c>
      <c r="AG140" s="687">
        <f>AF140-1%</f>
        <v>9.9999999999999967E-3</v>
      </c>
      <c r="AH140" s="687">
        <f>AG140-1%</f>
        <v>0</v>
      </c>
      <c r="AI140" s="688">
        <f>AH140</f>
        <v>0</v>
      </c>
      <c r="AJ140" s="688">
        <f>AI140</f>
        <v>0</v>
      </c>
    </row>
    <row r="141" spans="1:37" s="688" customFormat="1" ht="13.15" customHeight="1" x14ac:dyDescent="0.2">
      <c r="A141" s="680" t="s">
        <v>248</v>
      </c>
      <c r="B141" s="681"/>
      <c r="C141" s="687">
        <f t="shared" ref="C141:N141" si="210">C114</f>
        <v>0</v>
      </c>
      <c r="D141" s="687">
        <f t="shared" si="210"/>
        <v>0</v>
      </c>
      <c r="E141" s="687">
        <f t="shared" si="210"/>
        <v>0</v>
      </c>
      <c r="F141" s="687">
        <f t="shared" si="210"/>
        <v>0</v>
      </c>
      <c r="G141" s="687">
        <f t="shared" si="210"/>
        <v>0</v>
      </c>
      <c r="H141" s="687">
        <f t="shared" si="210"/>
        <v>0</v>
      </c>
      <c r="I141" s="687">
        <f t="shared" si="210"/>
        <v>0</v>
      </c>
      <c r="J141" s="687">
        <f t="shared" si="210"/>
        <v>0</v>
      </c>
      <c r="K141" s="687">
        <f t="shared" si="210"/>
        <v>0</v>
      </c>
      <c r="L141" s="687">
        <f t="shared" si="210"/>
        <v>0</v>
      </c>
      <c r="M141" s="687">
        <f t="shared" si="210"/>
        <v>0</v>
      </c>
      <c r="N141" s="687">
        <f t="shared" si="210"/>
        <v>0</v>
      </c>
      <c r="O141" s="692">
        <f>N141</f>
        <v>0</v>
      </c>
      <c r="P141" s="687">
        <f>P114</f>
        <v>0</v>
      </c>
      <c r="Q141" s="687">
        <f t="shared" ref="Q141:AA141" si="211">Q114</f>
        <v>0</v>
      </c>
      <c r="R141" s="687">
        <f t="shared" si="211"/>
        <v>0</v>
      </c>
      <c r="S141" s="687">
        <f t="shared" si="211"/>
        <v>0</v>
      </c>
      <c r="T141" s="687">
        <f t="shared" si="211"/>
        <v>0</v>
      </c>
      <c r="U141" s="687">
        <f t="shared" si="211"/>
        <v>0</v>
      </c>
      <c r="V141" s="687">
        <f t="shared" si="211"/>
        <v>1E-3</v>
      </c>
      <c r="W141" s="687">
        <f t="shared" si="211"/>
        <v>2E-3</v>
      </c>
      <c r="X141" s="687">
        <f t="shared" si="211"/>
        <v>3.0000000000000001E-3</v>
      </c>
      <c r="Y141" s="687">
        <f t="shared" si="211"/>
        <v>4.0000000000000001E-3</v>
      </c>
      <c r="Z141" s="687">
        <f t="shared" si="211"/>
        <v>5.0000000000000001E-3</v>
      </c>
      <c r="AA141" s="687">
        <f t="shared" si="211"/>
        <v>6.0000000000000001E-3</v>
      </c>
      <c r="AB141" s="692">
        <f>AA141</f>
        <v>6.0000000000000001E-3</v>
      </c>
      <c r="AC141" s="687">
        <f t="shared" ref="AC141:AJ141" si="212">AC114</f>
        <v>1.7999999999999999E-2</v>
      </c>
      <c r="AD141" s="687">
        <f t="shared" si="212"/>
        <v>3.5999999999999997E-2</v>
      </c>
      <c r="AE141" s="687">
        <f t="shared" si="212"/>
        <v>7.1999999999999995E-2</v>
      </c>
      <c r="AF141" s="687">
        <f t="shared" si="212"/>
        <v>0.11</v>
      </c>
      <c r="AG141" s="687">
        <f t="shared" si="212"/>
        <v>0.13</v>
      </c>
      <c r="AH141" s="687">
        <f t="shared" si="212"/>
        <v>0.15</v>
      </c>
      <c r="AI141" s="687">
        <f t="shared" si="212"/>
        <v>0.16999999999999998</v>
      </c>
      <c r="AJ141" s="687">
        <f t="shared" si="212"/>
        <v>0.18999999999999997</v>
      </c>
    </row>
    <row r="142" spans="1:37" s="674" customFormat="1" ht="13.15" customHeight="1" x14ac:dyDescent="0.2">
      <c r="A142" s="680" t="s">
        <v>251</v>
      </c>
      <c r="B142" s="681"/>
      <c r="C142" s="690">
        <f t="shared" ref="C142:N142" si="213">C139*C141</f>
        <v>0</v>
      </c>
      <c r="D142" s="690">
        <f t="shared" si="213"/>
        <v>0</v>
      </c>
      <c r="E142" s="690">
        <f t="shared" si="213"/>
        <v>0</v>
      </c>
      <c r="F142" s="690">
        <f t="shared" si="213"/>
        <v>0</v>
      </c>
      <c r="G142" s="690">
        <f t="shared" si="213"/>
        <v>0</v>
      </c>
      <c r="H142" s="690">
        <f t="shared" si="213"/>
        <v>0</v>
      </c>
      <c r="I142" s="690">
        <f t="shared" si="213"/>
        <v>0</v>
      </c>
      <c r="J142" s="690">
        <f t="shared" si="213"/>
        <v>0</v>
      </c>
      <c r="K142" s="690">
        <f t="shared" si="213"/>
        <v>0</v>
      </c>
      <c r="L142" s="690">
        <f t="shared" si="213"/>
        <v>0</v>
      </c>
      <c r="M142" s="690">
        <f t="shared" si="213"/>
        <v>0</v>
      </c>
      <c r="N142" s="690">
        <f t="shared" si="213"/>
        <v>0</v>
      </c>
      <c r="O142" s="683">
        <f>SUM(C142:N142)</f>
        <v>0</v>
      </c>
      <c r="P142" s="690">
        <f t="shared" ref="P142:AA142" si="214">P139*P141</f>
        <v>0</v>
      </c>
      <c r="Q142" s="690">
        <f t="shared" si="214"/>
        <v>0</v>
      </c>
      <c r="R142" s="690">
        <f t="shared" si="214"/>
        <v>0</v>
      </c>
      <c r="S142" s="690">
        <f t="shared" si="214"/>
        <v>0</v>
      </c>
      <c r="T142" s="690">
        <f t="shared" si="214"/>
        <v>0</v>
      </c>
      <c r="U142" s="690">
        <f t="shared" si="214"/>
        <v>0</v>
      </c>
      <c r="V142" s="690">
        <f t="shared" si="214"/>
        <v>3.9375</v>
      </c>
      <c r="W142" s="690">
        <f t="shared" si="214"/>
        <v>7.875</v>
      </c>
      <c r="X142" s="690">
        <f t="shared" si="214"/>
        <v>11.8125</v>
      </c>
      <c r="Y142" s="690">
        <f t="shared" si="214"/>
        <v>15.75</v>
      </c>
      <c r="Z142" s="690">
        <f t="shared" si="214"/>
        <v>19.6875</v>
      </c>
      <c r="AA142" s="690">
        <f t="shared" si="214"/>
        <v>23.625</v>
      </c>
      <c r="AB142" s="690">
        <f>SUM(P142:AA142)</f>
        <v>82.6875</v>
      </c>
      <c r="AC142" s="690">
        <f>AC139*AVERAGE(AA141,AC141)</f>
        <v>595.35</v>
      </c>
      <c r="AD142" s="690">
        <f t="shared" ref="AD142:AJ142" si="215">AD139*AVERAGE(AC141,AD141)</f>
        <v>1393.1189999999999</v>
      </c>
      <c r="AE142" s="690">
        <f t="shared" si="215"/>
        <v>2869.8251399999999</v>
      </c>
      <c r="AF142" s="690">
        <f t="shared" si="215"/>
        <v>4932.9105462000007</v>
      </c>
      <c r="AG142" s="690">
        <f t="shared" si="215"/>
        <v>6569.9863538400004</v>
      </c>
      <c r="AH142" s="690">
        <f t="shared" si="215"/>
        <v>7664.984079480002</v>
      </c>
      <c r="AI142" s="690">
        <f t="shared" si="215"/>
        <v>8759.98180512</v>
      </c>
      <c r="AJ142" s="690">
        <f t="shared" si="215"/>
        <v>9854.9795307600016</v>
      </c>
    </row>
    <row r="143" spans="1:37" s="674" customFormat="1" ht="13.15" customHeight="1" x14ac:dyDescent="0.2">
      <c r="A143" s="680" t="s">
        <v>249</v>
      </c>
      <c r="B143" s="681"/>
      <c r="C143" s="686">
        <v>3.5</v>
      </c>
      <c r="D143" s="686">
        <f t="shared" ref="D143:O143" si="216">C143</f>
        <v>3.5</v>
      </c>
      <c r="E143" s="686">
        <f t="shared" si="216"/>
        <v>3.5</v>
      </c>
      <c r="F143" s="686">
        <f t="shared" si="216"/>
        <v>3.5</v>
      </c>
      <c r="G143" s="686">
        <f t="shared" si="216"/>
        <v>3.5</v>
      </c>
      <c r="H143" s="686">
        <f t="shared" si="216"/>
        <v>3.5</v>
      </c>
      <c r="I143" s="686">
        <f t="shared" si="216"/>
        <v>3.5</v>
      </c>
      <c r="J143" s="686">
        <f t="shared" si="216"/>
        <v>3.5</v>
      </c>
      <c r="K143" s="686">
        <f t="shared" si="216"/>
        <v>3.5</v>
      </c>
      <c r="L143" s="686">
        <f t="shared" si="216"/>
        <v>3.5</v>
      </c>
      <c r="M143" s="686">
        <f t="shared" si="216"/>
        <v>3.5</v>
      </c>
      <c r="N143" s="686">
        <f t="shared" si="216"/>
        <v>3.5</v>
      </c>
      <c r="O143" s="685">
        <f t="shared" si="216"/>
        <v>3.5</v>
      </c>
      <c r="P143" s="686">
        <f>N143</f>
        <v>3.5</v>
      </c>
      <c r="Q143" s="686">
        <f t="shared" ref="Q143:AB143" si="217">P143</f>
        <v>3.5</v>
      </c>
      <c r="R143" s="686">
        <f t="shared" si="217"/>
        <v>3.5</v>
      </c>
      <c r="S143" s="686">
        <f t="shared" si="217"/>
        <v>3.5</v>
      </c>
      <c r="T143" s="686">
        <f t="shared" si="217"/>
        <v>3.5</v>
      </c>
      <c r="U143" s="686">
        <f t="shared" si="217"/>
        <v>3.5</v>
      </c>
      <c r="V143" s="686">
        <f t="shared" si="217"/>
        <v>3.5</v>
      </c>
      <c r="W143" s="686">
        <f t="shared" si="217"/>
        <v>3.5</v>
      </c>
      <c r="X143" s="686">
        <f t="shared" si="217"/>
        <v>3.5</v>
      </c>
      <c r="Y143" s="686">
        <f t="shared" si="217"/>
        <v>3.5</v>
      </c>
      <c r="Z143" s="686">
        <f t="shared" si="217"/>
        <v>3.5</v>
      </c>
      <c r="AA143" s="686">
        <f t="shared" si="217"/>
        <v>3.5</v>
      </c>
      <c r="AB143" s="686">
        <f t="shared" si="217"/>
        <v>3.5</v>
      </c>
      <c r="AC143" s="686">
        <f>AA143</f>
        <v>3.5</v>
      </c>
      <c r="AD143" s="686">
        <f t="shared" ref="AD143:AJ143" si="218">AC143</f>
        <v>3.5</v>
      </c>
      <c r="AE143" s="686">
        <f t="shared" si="218"/>
        <v>3.5</v>
      </c>
      <c r="AF143" s="686">
        <f t="shared" si="218"/>
        <v>3.5</v>
      </c>
      <c r="AG143" s="686">
        <f t="shared" si="218"/>
        <v>3.5</v>
      </c>
      <c r="AH143" s="686">
        <f t="shared" si="218"/>
        <v>3.5</v>
      </c>
      <c r="AI143" s="686">
        <f t="shared" si="218"/>
        <v>3.5</v>
      </c>
      <c r="AJ143" s="686">
        <f t="shared" si="218"/>
        <v>3.5</v>
      </c>
    </row>
    <row r="144" spans="1:37" s="674" customFormat="1" ht="13.15" customHeight="1" x14ac:dyDescent="0.2">
      <c r="A144" s="680" t="s">
        <v>255</v>
      </c>
      <c r="B144" s="681"/>
      <c r="C144" s="690">
        <f t="shared" ref="C144:N144" si="219">C142*C143</f>
        <v>0</v>
      </c>
      <c r="D144" s="690">
        <f t="shared" si="219"/>
        <v>0</v>
      </c>
      <c r="E144" s="690">
        <f t="shared" si="219"/>
        <v>0</v>
      </c>
      <c r="F144" s="690">
        <f t="shared" si="219"/>
        <v>0</v>
      </c>
      <c r="G144" s="690">
        <f t="shared" si="219"/>
        <v>0</v>
      </c>
      <c r="H144" s="690">
        <f t="shared" si="219"/>
        <v>0</v>
      </c>
      <c r="I144" s="690">
        <f t="shared" si="219"/>
        <v>0</v>
      </c>
      <c r="J144" s="690">
        <f t="shared" si="219"/>
        <v>0</v>
      </c>
      <c r="K144" s="690">
        <f t="shared" si="219"/>
        <v>0</v>
      </c>
      <c r="L144" s="690">
        <f t="shared" si="219"/>
        <v>0</v>
      </c>
      <c r="M144" s="690">
        <f t="shared" si="219"/>
        <v>0</v>
      </c>
      <c r="N144" s="690">
        <f t="shared" si="219"/>
        <v>0</v>
      </c>
      <c r="O144" s="691">
        <f>SUM(C144:N144)</f>
        <v>0</v>
      </c>
      <c r="P144" s="690">
        <f t="shared" ref="P144:AA144" si="220">P142*P143</f>
        <v>0</v>
      </c>
      <c r="Q144" s="690">
        <f t="shared" si="220"/>
        <v>0</v>
      </c>
      <c r="R144" s="690">
        <f t="shared" si="220"/>
        <v>0</v>
      </c>
      <c r="S144" s="690">
        <f t="shared" si="220"/>
        <v>0</v>
      </c>
      <c r="T144" s="690">
        <f t="shared" si="220"/>
        <v>0</v>
      </c>
      <c r="U144" s="690">
        <f t="shared" si="220"/>
        <v>0</v>
      </c>
      <c r="V144" s="690">
        <f t="shared" si="220"/>
        <v>13.78125</v>
      </c>
      <c r="W144" s="690">
        <f t="shared" si="220"/>
        <v>27.5625</v>
      </c>
      <c r="X144" s="690">
        <f t="shared" si="220"/>
        <v>41.34375</v>
      </c>
      <c r="Y144" s="690">
        <f t="shared" si="220"/>
        <v>55.125</v>
      </c>
      <c r="Z144" s="690">
        <f t="shared" si="220"/>
        <v>68.90625</v>
      </c>
      <c r="AA144" s="690">
        <f t="shared" si="220"/>
        <v>82.6875</v>
      </c>
      <c r="AB144" s="691">
        <f>SUM(P144:AA144)</f>
        <v>289.40625</v>
      </c>
      <c r="AC144" s="690">
        <f t="shared" ref="AC144:AJ144" si="221">AC142*AC143</f>
        <v>2083.7249999999999</v>
      </c>
      <c r="AD144" s="690">
        <f t="shared" si="221"/>
        <v>4875.9164999999994</v>
      </c>
      <c r="AE144" s="690">
        <f t="shared" si="221"/>
        <v>10044.387989999999</v>
      </c>
      <c r="AF144" s="690">
        <f t="shared" si="221"/>
        <v>17265.186911700002</v>
      </c>
      <c r="AG144" s="690">
        <f t="shared" si="221"/>
        <v>22994.952238440001</v>
      </c>
      <c r="AH144" s="690">
        <f t="shared" si="221"/>
        <v>26827.444278180006</v>
      </c>
      <c r="AI144" s="690">
        <f t="shared" si="221"/>
        <v>30659.936317920001</v>
      </c>
      <c r="AJ144" s="690">
        <f t="shared" si="221"/>
        <v>34492.428357660006</v>
      </c>
    </row>
    <row r="146" spans="1:37" s="674" customFormat="1" ht="13.15" customHeight="1" x14ac:dyDescent="0.2">
      <c r="A146" s="680" t="s">
        <v>253</v>
      </c>
      <c r="B146" s="681"/>
      <c r="C146" s="689">
        <v>0</v>
      </c>
      <c r="D146" s="689">
        <v>0</v>
      </c>
      <c r="E146" s="689">
        <v>0</v>
      </c>
      <c r="F146" s="689">
        <v>0</v>
      </c>
      <c r="G146" s="689">
        <v>0</v>
      </c>
      <c r="H146" s="689">
        <v>0</v>
      </c>
      <c r="I146" s="689">
        <v>0</v>
      </c>
      <c r="J146" s="689">
        <v>0</v>
      </c>
      <c r="K146" s="689">
        <v>0</v>
      </c>
      <c r="L146" s="689">
        <v>0</v>
      </c>
      <c r="M146" s="689">
        <v>0</v>
      </c>
      <c r="N146" s="689">
        <v>0</v>
      </c>
      <c r="O146" s="690">
        <f>N146</f>
        <v>0</v>
      </c>
      <c r="P146" s="689">
        <f>N146</f>
        <v>0</v>
      </c>
      <c r="Q146" s="689">
        <f>P146</f>
        <v>0</v>
      </c>
      <c r="R146" s="689">
        <f t="shared" ref="R146:AA146" si="222">Q146</f>
        <v>0</v>
      </c>
      <c r="S146" s="689">
        <f t="shared" si="222"/>
        <v>0</v>
      </c>
      <c r="T146" s="689">
        <f t="shared" si="222"/>
        <v>0</v>
      </c>
      <c r="U146" s="689">
        <f t="shared" si="222"/>
        <v>0</v>
      </c>
      <c r="V146" s="689">
        <f t="shared" si="222"/>
        <v>0</v>
      </c>
      <c r="W146" s="689">
        <f t="shared" si="222"/>
        <v>0</v>
      </c>
      <c r="X146" s="689">
        <f t="shared" si="222"/>
        <v>0</v>
      </c>
      <c r="Y146" s="689">
        <f t="shared" si="222"/>
        <v>0</v>
      </c>
      <c r="Z146" s="689">
        <f t="shared" si="222"/>
        <v>0</v>
      </c>
      <c r="AA146" s="689">
        <f t="shared" si="222"/>
        <v>0</v>
      </c>
      <c r="AB146" s="690">
        <f>AA146</f>
        <v>0</v>
      </c>
      <c r="AC146" s="689">
        <f>AA146</f>
        <v>0</v>
      </c>
      <c r="AD146" s="689">
        <f>AC146</f>
        <v>0</v>
      </c>
      <c r="AE146" s="689">
        <f t="shared" ref="AE146:AJ146" si="223">AD146</f>
        <v>0</v>
      </c>
      <c r="AF146" s="689">
        <f t="shared" si="223"/>
        <v>0</v>
      </c>
      <c r="AG146" s="689">
        <f t="shared" si="223"/>
        <v>0</v>
      </c>
      <c r="AH146" s="689">
        <f t="shared" si="223"/>
        <v>0</v>
      </c>
      <c r="AI146" s="689">
        <f t="shared" si="223"/>
        <v>0</v>
      </c>
      <c r="AJ146" s="689">
        <f t="shared" si="223"/>
        <v>0</v>
      </c>
    </row>
    <row r="147" spans="1:37" s="674" customFormat="1" ht="13.15" customHeight="1" x14ac:dyDescent="0.2">
      <c r="A147" s="680" t="s">
        <v>252</v>
      </c>
      <c r="B147" s="681"/>
      <c r="C147" s="689">
        <f>100/12</f>
        <v>8.3333333333333339</v>
      </c>
      <c r="D147" s="689">
        <f t="shared" ref="D147:N147" si="224">100/12</f>
        <v>8.3333333333333339</v>
      </c>
      <c r="E147" s="689">
        <f t="shared" si="224"/>
        <v>8.3333333333333339</v>
      </c>
      <c r="F147" s="689">
        <f t="shared" si="224"/>
        <v>8.3333333333333339</v>
      </c>
      <c r="G147" s="689">
        <f t="shared" si="224"/>
        <v>8.3333333333333339</v>
      </c>
      <c r="H147" s="689">
        <f t="shared" si="224"/>
        <v>8.3333333333333339</v>
      </c>
      <c r="I147" s="689">
        <f t="shared" si="224"/>
        <v>8.3333333333333339</v>
      </c>
      <c r="J147" s="689">
        <f t="shared" si="224"/>
        <v>8.3333333333333339</v>
      </c>
      <c r="K147" s="689">
        <f t="shared" si="224"/>
        <v>8.3333333333333339</v>
      </c>
      <c r="L147" s="689">
        <f t="shared" si="224"/>
        <v>8.3333333333333339</v>
      </c>
      <c r="M147" s="689">
        <f t="shared" si="224"/>
        <v>8.3333333333333339</v>
      </c>
      <c r="N147" s="689">
        <f t="shared" si="224"/>
        <v>8.3333333333333339</v>
      </c>
      <c r="O147" s="683">
        <f>SUM(C147:N147)</f>
        <v>99.999999999999986</v>
      </c>
      <c r="P147" s="689">
        <f t="shared" ref="P147:AA147" si="225">100/12</f>
        <v>8.3333333333333339</v>
      </c>
      <c r="Q147" s="689">
        <f t="shared" si="225"/>
        <v>8.3333333333333339</v>
      </c>
      <c r="R147" s="689">
        <f t="shared" si="225"/>
        <v>8.3333333333333339</v>
      </c>
      <c r="S147" s="689">
        <f t="shared" si="225"/>
        <v>8.3333333333333339</v>
      </c>
      <c r="T147" s="689">
        <f t="shared" si="225"/>
        <v>8.3333333333333339</v>
      </c>
      <c r="U147" s="689">
        <f t="shared" si="225"/>
        <v>8.3333333333333339</v>
      </c>
      <c r="V147" s="689">
        <f t="shared" si="225"/>
        <v>8.3333333333333339</v>
      </c>
      <c r="W147" s="689">
        <f t="shared" si="225"/>
        <v>8.3333333333333339</v>
      </c>
      <c r="X147" s="689">
        <f t="shared" si="225"/>
        <v>8.3333333333333339</v>
      </c>
      <c r="Y147" s="689">
        <f t="shared" si="225"/>
        <v>8.3333333333333339</v>
      </c>
      <c r="Z147" s="689">
        <f t="shared" si="225"/>
        <v>8.3333333333333339</v>
      </c>
      <c r="AA147" s="689">
        <f t="shared" si="225"/>
        <v>8.3333333333333339</v>
      </c>
      <c r="AB147" s="683">
        <f>SUM(P147:AA147)</f>
        <v>99.999999999999986</v>
      </c>
      <c r="AC147" s="689">
        <v>100</v>
      </c>
      <c r="AD147" s="689">
        <v>100</v>
      </c>
      <c r="AE147" s="689">
        <v>100</v>
      </c>
      <c r="AF147" s="689">
        <v>100</v>
      </c>
      <c r="AG147" s="689">
        <v>100</v>
      </c>
      <c r="AH147" s="689">
        <v>100</v>
      </c>
      <c r="AI147" s="689">
        <v>100</v>
      </c>
      <c r="AJ147" s="689">
        <v>100</v>
      </c>
    </row>
    <row r="148" spans="1:37" s="674" customFormat="1" ht="13.15" customHeight="1" x14ac:dyDescent="0.2">
      <c r="A148" s="680" t="s">
        <v>254</v>
      </c>
      <c r="B148" s="681"/>
      <c r="C148" s="690">
        <f t="shared" ref="C148:N148" si="226">C146*C147</f>
        <v>0</v>
      </c>
      <c r="D148" s="690">
        <f t="shared" si="226"/>
        <v>0</v>
      </c>
      <c r="E148" s="690">
        <f t="shared" si="226"/>
        <v>0</v>
      </c>
      <c r="F148" s="690">
        <f t="shared" si="226"/>
        <v>0</v>
      </c>
      <c r="G148" s="690">
        <f t="shared" si="226"/>
        <v>0</v>
      </c>
      <c r="H148" s="690">
        <f t="shared" si="226"/>
        <v>0</v>
      </c>
      <c r="I148" s="690">
        <f t="shared" si="226"/>
        <v>0</v>
      </c>
      <c r="J148" s="690">
        <f t="shared" si="226"/>
        <v>0</v>
      </c>
      <c r="K148" s="690">
        <f t="shared" si="226"/>
        <v>0</v>
      </c>
      <c r="L148" s="690">
        <f t="shared" si="226"/>
        <v>0</v>
      </c>
      <c r="M148" s="690">
        <f t="shared" si="226"/>
        <v>0</v>
      </c>
      <c r="N148" s="690">
        <f t="shared" si="226"/>
        <v>0</v>
      </c>
      <c r="O148" s="683">
        <f>SUM(C148:N148)</f>
        <v>0</v>
      </c>
      <c r="P148" s="690">
        <f t="shared" ref="P148:AA148" si="227">P146*P147</f>
        <v>0</v>
      </c>
      <c r="Q148" s="690">
        <f t="shared" si="227"/>
        <v>0</v>
      </c>
      <c r="R148" s="690">
        <f t="shared" si="227"/>
        <v>0</v>
      </c>
      <c r="S148" s="690">
        <f t="shared" si="227"/>
        <v>0</v>
      </c>
      <c r="T148" s="690">
        <f t="shared" si="227"/>
        <v>0</v>
      </c>
      <c r="U148" s="690">
        <f t="shared" si="227"/>
        <v>0</v>
      </c>
      <c r="V148" s="690">
        <f t="shared" si="227"/>
        <v>0</v>
      </c>
      <c r="W148" s="690">
        <f t="shared" si="227"/>
        <v>0</v>
      </c>
      <c r="X148" s="690">
        <f t="shared" si="227"/>
        <v>0</v>
      </c>
      <c r="Y148" s="690">
        <f t="shared" si="227"/>
        <v>0</v>
      </c>
      <c r="Z148" s="690">
        <f t="shared" si="227"/>
        <v>0</v>
      </c>
      <c r="AA148" s="690">
        <f t="shared" si="227"/>
        <v>0</v>
      </c>
      <c r="AB148" s="690">
        <f>SUM(P148:AA148)</f>
        <v>0</v>
      </c>
      <c r="AC148" s="690">
        <f t="shared" ref="AC148:AJ148" si="228">AC146*AC147</f>
        <v>0</v>
      </c>
      <c r="AD148" s="690">
        <f t="shared" si="228"/>
        <v>0</v>
      </c>
      <c r="AE148" s="690">
        <f t="shared" si="228"/>
        <v>0</v>
      </c>
      <c r="AF148" s="690">
        <f t="shared" si="228"/>
        <v>0</v>
      </c>
      <c r="AG148" s="690">
        <f t="shared" si="228"/>
        <v>0</v>
      </c>
      <c r="AH148" s="690">
        <f t="shared" si="228"/>
        <v>0</v>
      </c>
      <c r="AI148" s="690">
        <f t="shared" si="228"/>
        <v>0</v>
      </c>
      <c r="AJ148" s="690">
        <f t="shared" si="228"/>
        <v>0</v>
      </c>
    </row>
    <row r="149" spans="1:37" s="674" customFormat="1" ht="13.15" customHeight="1" x14ac:dyDescent="0.2">
      <c r="A149" s="680" t="s">
        <v>249</v>
      </c>
      <c r="B149" s="681"/>
      <c r="C149" s="686">
        <f>C143</f>
        <v>3.5</v>
      </c>
      <c r="D149" s="686">
        <f t="shared" ref="D149:AJ149" si="229">D143</f>
        <v>3.5</v>
      </c>
      <c r="E149" s="686">
        <f t="shared" si="229"/>
        <v>3.5</v>
      </c>
      <c r="F149" s="686">
        <f t="shared" si="229"/>
        <v>3.5</v>
      </c>
      <c r="G149" s="686">
        <f t="shared" si="229"/>
        <v>3.5</v>
      </c>
      <c r="H149" s="686">
        <f t="shared" si="229"/>
        <v>3.5</v>
      </c>
      <c r="I149" s="686">
        <f t="shared" si="229"/>
        <v>3.5</v>
      </c>
      <c r="J149" s="686">
        <f t="shared" si="229"/>
        <v>3.5</v>
      </c>
      <c r="K149" s="686">
        <f t="shared" si="229"/>
        <v>3.5</v>
      </c>
      <c r="L149" s="686">
        <f t="shared" si="229"/>
        <v>3.5</v>
      </c>
      <c r="M149" s="686">
        <f t="shared" si="229"/>
        <v>3.5</v>
      </c>
      <c r="N149" s="686">
        <f t="shared" si="229"/>
        <v>3.5</v>
      </c>
      <c r="O149" s="686">
        <f t="shared" si="229"/>
        <v>3.5</v>
      </c>
      <c r="P149" s="686">
        <f t="shared" si="229"/>
        <v>3.5</v>
      </c>
      <c r="Q149" s="686">
        <f t="shared" si="229"/>
        <v>3.5</v>
      </c>
      <c r="R149" s="686">
        <f t="shared" si="229"/>
        <v>3.5</v>
      </c>
      <c r="S149" s="686">
        <f t="shared" si="229"/>
        <v>3.5</v>
      </c>
      <c r="T149" s="686">
        <f t="shared" si="229"/>
        <v>3.5</v>
      </c>
      <c r="U149" s="686">
        <f t="shared" si="229"/>
        <v>3.5</v>
      </c>
      <c r="V149" s="686">
        <f t="shared" si="229"/>
        <v>3.5</v>
      </c>
      <c r="W149" s="686">
        <f t="shared" si="229"/>
        <v>3.5</v>
      </c>
      <c r="X149" s="686">
        <f t="shared" si="229"/>
        <v>3.5</v>
      </c>
      <c r="Y149" s="686">
        <f t="shared" si="229"/>
        <v>3.5</v>
      </c>
      <c r="Z149" s="686">
        <f t="shared" si="229"/>
        <v>3.5</v>
      </c>
      <c r="AA149" s="686">
        <f t="shared" si="229"/>
        <v>3.5</v>
      </c>
      <c r="AB149" s="686">
        <f t="shared" si="229"/>
        <v>3.5</v>
      </c>
      <c r="AC149" s="686">
        <f t="shared" si="229"/>
        <v>3.5</v>
      </c>
      <c r="AD149" s="686">
        <f t="shared" si="229"/>
        <v>3.5</v>
      </c>
      <c r="AE149" s="686">
        <f t="shared" si="229"/>
        <v>3.5</v>
      </c>
      <c r="AF149" s="686">
        <f t="shared" si="229"/>
        <v>3.5</v>
      </c>
      <c r="AG149" s="686">
        <f t="shared" si="229"/>
        <v>3.5</v>
      </c>
      <c r="AH149" s="686">
        <f t="shared" si="229"/>
        <v>3.5</v>
      </c>
      <c r="AI149" s="686">
        <f t="shared" si="229"/>
        <v>3.5</v>
      </c>
      <c r="AJ149" s="686">
        <f t="shared" si="229"/>
        <v>3.5</v>
      </c>
    </row>
    <row r="150" spans="1:37" s="674" customFormat="1" ht="13.15" customHeight="1" x14ac:dyDescent="0.2">
      <c r="A150" s="680" t="s">
        <v>255</v>
      </c>
      <c r="B150" s="681"/>
      <c r="C150" s="690">
        <f t="shared" ref="C150:N150" si="230">C148*C149</f>
        <v>0</v>
      </c>
      <c r="D150" s="690">
        <f t="shared" si="230"/>
        <v>0</v>
      </c>
      <c r="E150" s="690">
        <f t="shared" si="230"/>
        <v>0</v>
      </c>
      <c r="F150" s="690">
        <f t="shared" si="230"/>
        <v>0</v>
      </c>
      <c r="G150" s="690">
        <f t="shared" si="230"/>
        <v>0</v>
      </c>
      <c r="H150" s="690">
        <f t="shared" si="230"/>
        <v>0</v>
      </c>
      <c r="I150" s="690">
        <f t="shared" si="230"/>
        <v>0</v>
      </c>
      <c r="J150" s="690">
        <f t="shared" si="230"/>
        <v>0</v>
      </c>
      <c r="K150" s="690">
        <f t="shared" si="230"/>
        <v>0</v>
      </c>
      <c r="L150" s="690">
        <f t="shared" si="230"/>
        <v>0</v>
      </c>
      <c r="M150" s="690">
        <f t="shared" si="230"/>
        <v>0</v>
      </c>
      <c r="N150" s="690">
        <f t="shared" si="230"/>
        <v>0</v>
      </c>
      <c r="O150" s="691">
        <f>SUM(C150:N150)</f>
        <v>0</v>
      </c>
      <c r="P150" s="690">
        <f t="shared" ref="P150:AA150" si="231">P148*P149</f>
        <v>0</v>
      </c>
      <c r="Q150" s="690">
        <f t="shared" si="231"/>
        <v>0</v>
      </c>
      <c r="R150" s="690">
        <f t="shared" si="231"/>
        <v>0</v>
      </c>
      <c r="S150" s="690">
        <f t="shared" si="231"/>
        <v>0</v>
      </c>
      <c r="T150" s="690">
        <f t="shared" si="231"/>
        <v>0</v>
      </c>
      <c r="U150" s="690">
        <f t="shared" si="231"/>
        <v>0</v>
      </c>
      <c r="V150" s="690">
        <f t="shared" si="231"/>
        <v>0</v>
      </c>
      <c r="W150" s="690">
        <f t="shared" si="231"/>
        <v>0</v>
      </c>
      <c r="X150" s="690">
        <f t="shared" si="231"/>
        <v>0</v>
      </c>
      <c r="Y150" s="690">
        <f t="shared" si="231"/>
        <v>0</v>
      </c>
      <c r="Z150" s="690">
        <f t="shared" si="231"/>
        <v>0</v>
      </c>
      <c r="AA150" s="690">
        <f t="shared" si="231"/>
        <v>0</v>
      </c>
      <c r="AB150" s="691">
        <f>SUM(P150:AA150)</f>
        <v>0</v>
      </c>
      <c r="AC150" s="690">
        <f t="shared" ref="AC150:AJ150" si="232">AC148*AC149</f>
        <v>0</v>
      </c>
      <c r="AD150" s="690">
        <f t="shared" si="232"/>
        <v>0</v>
      </c>
      <c r="AE150" s="690">
        <f t="shared" si="232"/>
        <v>0</v>
      </c>
      <c r="AF150" s="690">
        <f t="shared" si="232"/>
        <v>0</v>
      </c>
      <c r="AG150" s="690">
        <f t="shared" si="232"/>
        <v>0</v>
      </c>
      <c r="AH150" s="690">
        <f t="shared" si="232"/>
        <v>0</v>
      </c>
      <c r="AI150" s="690">
        <f t="shared" si="232"/>
        <v>0</v>
      </c>
      <c r="AJ150" s="690">
        <f t="shared" si="232"/>
        <v>0</v>
      </c>
    </row>
    <row r="151" spans="1:37" s="674" customFormat="1" ht="13.15" customHeight="1" x14ac:dyDescent="0.2">
      <c r="B151" s="681"/>
      <c r="C151" s="682"/>
      <c r="D151" s="682"/>
      <c r="E151" s="682"/>
      <c r="F151" s="682"/>
      <c r="G151" s="682"/>
      <c r="H151" s="682"/>
      <c r="I151" s="682"/>
      <c r="J151" s="682"/>
      <c r="K151" s="682"/>
      <c r="L151" s="682"/>
      <c r="M151" s="682"/>
      <c r="N151" s="682"/>
      <c r="O151" s="683"/>
      <c r="P151" s="682"/>
      <c r="Q151" s="682"/>
      <c r="R151" s="682"/>
      <c r="S151" s="682"/>
      <c r="T151" s="682"/>
      <c r="U151" s="682"/>
      <c r="V151" s="682"/>
      <c r="W151" s="682"/>
      <c r="X151" s="682"/>
      <c r="Y151" s="682"/>
      <c r="Z151" s="682"/>
      <c r="AA151" s="682"/>
      <c r="AB151" s="683"/>
      <c r="AC151" s="683"/>
      <c r="AD151" s="683"/>
      <c r="AE151" s="683"/>
    </row>
    <row r="152" spans="1:37" s="674" customFormat="1" ht="13.15" customHeight="1" x14ac:dyDescent="0.2">
      <c r="A152" s="680" t="s">
        <v>256</v>
      </c>
      <c r="B152" s="681"/>
      <c r="C152" s="689">
        <v>0</v>
      </c>
      <c r="D152" s="689">
        <v>0</v>
      </c>
      <c r="E152" s="689">
        <v>0</v>
      </c>
      <c r="F152" s="689">
        <v>0</v>
      </c>
      <c r="G152" s="689">
        <v>0</v>
      </c>
      <c r="H152" s="689">
        <v>0</v>
      </c>
      <c r="I152" s="689">
        <v>0</v>
      </c>
      <c r="J152" s="689">
        <v>0</v>
      </c>
      <c r="K152" s="689">
        <v>0</v>
      </c>
      <c r="L152" s="689">
        <v>0</v>
      </c>
      <c r="M152" s="689">
        <v>0</v>
      </c>
      <c r="N152" s="689">
        <v>0</v>
      </c>
      <c r="O152" s="690">
        <f>N152</f>
        <v>0</v>
      </c>
      <c r="P152" s="689">
        <f>N152</f>
        <v>0</v>
      </c>
      <c r="Q152" s="689">
        <f>P152</f>
        <v>0</v>
      </c>
      <c r="R152" s="689">
        <f t="shared" ref="R152:AA152" si="233">Q152</f>
        <v>0</v>
      </c>
      <c r="S152" s="689">
        <f t="shared" si="233"/>
        <v>0</v>
      </c>
      <c r="T152" s="689">
        <f t="shared" si="233"/>
        <v>0</v>
      </c>
      <c r="U152" s="689">
        <f t="shared" si="233"/>
        <v>0</v>
      </c>
      <c r="V152" s="689">
        <f t="shared" si="233"/>
        <v>0</v>
      </c>
      <c r="W152" s="689">
        <f t="shared" si="233"/>
        <v>0</v>
      </c>
      <c r="X152" s="689">
        <f t="shared" si="233"/>
        <v>0</v>
      </c>
      <c r="Y152" s="689">
        <f t="shared" si="233"/>
        <v>0</v>
      </c>
      <c r="Z152" s="689">
        <f t="shared" si="233"/>
        <v>0</v>
      </c>
      <c r="AA152" s="689">
        <f t="shared" si="233"/>
        <v>0</v>
      </c>
      <c r="AB152" s="690">
        <f>AA152</f>
        <v>0</v>
      </c>
      <c r="AC152" s="689">
        <f>AA152</f>
        <v>0</v>
      </c>
      <c r="AD152" s="689">
        <f>AC152</f>
        <v>0</v>
      </c>
      <c r="AE152" s="689">
        <f t="shared" ref="AE152:AJ152" si="234">AD152</f>
        <v>0</v>
      </c>
      <c r="AF152" s="689">
        <f t="shared" si="234"/>
        <v>0</v>
      </c>
      <c r="AG152" s="689">
        <f t="shared" si="234"/>
        <v>0</v>
      </c>
      <c r="AH152" s="689">
        <f t="shared" si="234"/>
        <v>0</v>
      </c>
      <c r="AI152" s="689">
        <f t="shared" si="234"/>
        <v>0</v>
      </c>
      <c r="AJ152" s="689">
        <f t="shared" si="234"/>
        <v>0</v>
      </c>
    </row>
    <row r="153" spans="1:37" s="674" customFormat="1" ht="13.15" customHeight="1" x14ac:dyDescent="0.2">
      <c r="A153" s="680" t="s">
        <v>252</v>
      </c>
      <c r="B153" s="681"/>
      <c r="C153" s="689">
        <f>300/12</f>
        <v>25</v>
      </c>
      <c r="D153" s="689">
        <f t="shared" ref="D153:N153" si="235">300/12</f>
        <v>25</v>
      </c>
      <c r="E153" s="689">
        <f t="shared" si="235"/>
        <v>25</v>
      </c>
      <c r="F153" s="689">
        <f t="shared" si="235"/>
        <v>25</v>
      </c>
      <c r="G153" s="689">
        <f t="shared" si="235"/>
        <v>25</v>
      </c>
      <c r="H153" s="689">
        <f t="shared" si="235"/>
        <v>25</v>
      </c>
      <c r="I153" s="689">
        <f t="shared" si="235"/>
        <v>25</v>
      </c>
      <c r="J153" s="689">
        <f t="shared" si="235"/>
        <v>25</v>
      </c>
      <c r="K153" s="689">
        <f t="shared" si="235"/>
        <v>25</v>
      </c>
      <c r="L153" s="689">
        <f t="shared" si="235"/>
        <v>25</v>
      </c>
      <c r="M153" s="689">
        <f t="shared" si="235"/>
        <v>25</v>
      </c>
      <c r="N153" s="689">
        <f t="shared" si="235"/>
        <v>25</v>
      </c>
      <c r="O153" s="683">
        <f>SUM(C153:N153)</f>
        <v>300</v>
      </c>
      <c r="P153" s="689">
        <f>300/12</f>
        <v>25</v>
      </c>
      <c r="Q153" s="689">
        <f t="shared" ref="Q153:AA153" si="236">300/12</f>
        <v>25</v>
      </c>
      <c r="R153" s="689">
        <f t="shared" si="236"/>
        <v>25</v>
      </c>
      <c r="S153" s="689">
        <f t="shared" si="236"/>
        <v>25</v>
      </c>
      <c r="T153" s="689">
        <f t="shared" si="236"/>
        <v>25</v>
      </c>
      <c r="U153" s="689">
        <f t="shared" si="236"/>
        <v>25</v>
      </c>
      <c r="V153" s="689">
        <f t="shared" si="236"/>
        <v>25</v>
      </c>
      <c r="W153" s="689">
        <f t="shared" si="236"/>
        <v>25</v>
      </c>
      <c r="X153" s="689">
        <f t="shared" si="236"/>
        <v>25</v>
      </c>
      <c r="Y153" s="689">
        <f t="shared" si="236"/>
        <v>25</v>
      </c>
      <c r="Z153" s="689">
        <f t="shared" si="236"/>
        <v>25</v>
      </c>
      <c r="AA153" s="689">
        <f t="shared" si="236"/>
        <v>25</v>
      </c>
      <c r="AB153" s="683">
        <f>SUM(P153:AA153)</f>
        <v>300</v>
      </c>
      <c r="AC153" s="689">
        <v>300</v>
      </c>
      <c r="AD153" s="689">
        <v>300</v>
      </c>
      <c r="AE153" s="689">
        <v>300</v>
      </c>
      <c r="AF153" s="689">
        <v>300</v>
      </c>
      <c r="AG153" s="689">
        <v>300</v>
      </c>
      <c r="AH153" s="689">
        <v>300</v>
      </c>
      <c r="AI153" s="689">
        <v>300</v>
      </c>
      <c r="AJ153" s="689">
        <v>300</v>
      </c>
    </row>
    <row r="154" spans="1:37" s="674" customFormat="1" ht="13.15" customHeight="1" x14ac:dyDescent="0.2">
      <c r="A154" s="680" t="s">
        <v>254</v>
      </c>
      <c r="B154" s="681"/>
      <c r="C154" s="690">
        <f t="shared" ref="C154:N154" si="237">C152*C153</f>
        <v>0</v>
      </c>
      <c r="D154" s="690">
        <f t="shared" si="237"/>
        <v>0</v>
      </c>
      <c r="E154" s="690">
        <f t="shared" si="237"/>
        <v>0</v>
      </c>
      <c r="F154" s="690">
        <f t="shared" si="237"/>
        <v>0</v>
      </c>
      <c r="G154" s="690">
        <f t="shared" si="237"/>
        <v>0</v>
      </c>
      <c r="H154" s="690">
        <f t="shared" si="237"/>
        <v>0</v>
      </c>
      <c r="I154" s="690">
        <f t="shared" si="237"/>
        <v>0</v>
      </c>
      <c r="J154" s="690">
        <f t="shared" si="237"/>
        <v>0</v>
      </c>
      <c r="K154" s="690">
        <f t="shared" si="237"/>
        <v>0</v>
      </c>
      <c r="L154" s="690">
        <f t="shared" si="237"/>
        <v>0</v>
      </c>
      <c r="M154" s="690">
        <f t="shared" si="237"/>
        <v>0</v>
      </c>
      <c r="N154" s="690">
        <f t="shared" si="237"/>
        <v>0</v>
      </c>
      <c r="O154" s="683">
        <f>SUM(C154:N154)</f>
        <v>0</v>
      </c>
      <c r="P154" s="690">
        <f t="shared" ref="P154:AA154" si="238">P152*P153</f>
        <v>0</v>
      </c>
      <c r="Q154" s="690">
        <f t="shared" si="238"/>
        <v>0</v>
      </c>
      <c r="R154" s="690">
        <f t="shared" si="238"/>
        <v>0</v>
      </c>
      <c r="S154" s="690">
        <f t="shared" si="238"/>
        <v>0</v>
      </c>
      <c r="T154" s="690">
        <f t="shared" si="238"/>
        <v>0</v>
      </c>
      <c r="U154" s="690">
        <f t="shared" si="238"/>
        <v>0</v>
      </c>
      <c r="V154" s="690">
        <f t="shared" si="238"/>
        <v>0</v>
      </c>
      <c r="W154" s="690">
        <f t="shared" si="238"/>
        <v>0</v>
      </c>
      <c r="X154" s="690">
        <f t="shared" si="238"/>
        <v>0</v>
      </c>
      <c r="Y154" s="690">
        <f t="shared" si="238"/>
        <v>0</v>
      </c>
      <c r="Z154" s="690">
        <f t="shared" si="238"/>
        <v>0</v>
      </c>
      <c r="AA154" s="690">
        <f t="shared" si="238"/>
        <v>0</v>
      </c>
      <c r="AB154" s="683">
        <f>SUM(P154:AA154)</f>
        <v>0</v>
      </c>
      <c r="AC154" s="690">
        <f t="shared" ref="AC154:AJ154" si="239">AC152*AC153</f>
        <v>0</v>
      </c>
      <c r="AD154" s="690">
        <f t="shared" si="239"/>
        <v>0</v>
      </c>
      <c r="AE154" s="690">
        <f t="shared" si="239"/>
        <v>0</v>
      </c>
      <c r="AF154" s="690">
        <f t="shared" si="239"/>
        <v>0</v>
      </c>
      <c r="AG154" s="690">
        <f t="shared" si="239"/>
        <v>0</v>
      </c>
      <c r="AH154" s="690">
        <f t="shared" si="239"/>
        <v>0</v>
      </c>
      <c r="AI154" s="690">
        <f t="shared" si="239"/>
        <v>0</v>
      </c>
      <c r="AJ154" s="690">
        <f t="shared" si="239"/>
        <v>0</v>
      </c>
    </row>
    <row r="155" spans="1:37" s="674" customFormat="1" ht="13.15" customHeight="1" x14ac:dyDescent="0.2">
      <c r="A155" s="680" t="s">
        <v>249</v>
      </c>
      <c r="B155" s="681"/>
      <c r="C155" s="686">
        <f>C143</f>
        <v>3.5</v>
      </c>
      <c r="D155" s="686">
        <f t="shared" ref="D155:AJ155" si="240">D143</f>
        <v>3.5</v>
      </c>
      <c r="E155" s="686">
        <f t="shared" si="240"/>
        <v>3.5</v>
      </c>
      <c r="F155" s="686">
        <f t="shared" si="240"/>
        <v>3.5</v>
      </c>
      <c r="G155" s="686">
        <f t="shared" si="240"/>
        <v>3.5</v>
      </c>
      <c r="H155" s="686">
        <f t="shared" si="240"/>
        <v>3.5</v>
      </c>
      <c r="I155" s="686">
        <f t="shared" si="240"/>
        <v>3.5</v>
      </c>
      <c r="J155" s="686">
        <f t="shared" si="240"/>
        <v>3.5</v>
      </c>
      <c r="K155" s="686">
        <f t="shared" si="240"/>
        <v>3.5</v>
      </c>
      <c r="L155" s="686">
        <f t="shared" si="240"/>
        <v>3.5</v>
      </c>
      <c r="M155" s="686">
        <f t="shared" si="240"/>
        <v>3.5</v>
      </c>
      <c r="N155" s="686">
        <f t="shared" si="240"/>
        <v>3.5</v>
      </c>
      <c r="O155" s="686">
        <f t="shared" si="240"/>
        <v>3.5</v>
      </c>
      <c r="P155" s="686">
        <f t="shared" si="240"/>
        <v>3.5</v>
      </c>
      <c r="Q155" s="686">
        <f t="shared" si="240"/>
        <v>3.5</v>
      </c>
      <c r="R155" s="686">
        <f t="shared" si="240"/>
        <v>3.5</v>
      </c>
      <c r="S155" s="686">
        <f t="shared" si="240"/>
        <v>3.5</v>
      </c>
      <c r="T155" s="686">
        <f t="shared" si="240"/>
        <v>3.5</v>
      </c>
      <c r="U155" s="686">
        <f t="shared" si="240"/>
        <v>3.5</v>
      </c>
      <c r="V155" s="686">
        <f t="shared" si="240"/>
        <v>3.5</v>
      </c>
      <c r="W155" s="686">
        <f t="shared" si="240"/>
        <v>3.5</v>
      </c>
      <c r="X155" s="686">
        <f t="shared" si="240"/>
        <v>3.5</v>
      </c>
      <c r="Y155" s="686">
        <f t="shared" si="240"/>
        <v>3.5</v>
      </c>
      <c r="Z155" s="686">
        <f t="shared" si="240"/>
        <v>3.5</v>
      </c>
      <c r="AA155" s="686">
        <f t="shared" si="240"/>
        <v>3.5</v>
      </c>
      <c r="AB155" s="686">
        <f t="shared" si="240"/>
        <v>3.5</v>
      </c>
      <c r="AC155" s="686">
        <f t="shared" si="240"/>
        <v>3.5</v>
      </c>
      <c r="AD155" s="686">
        <f t="shared" si="240"/>
        <v>3.5</v>
      </c>
      <c r="AE155" s="686">
        <f t="shared" si="240"/>
        <v>3.5</v>
      </c>
      <c r="AF155" s="686">
        <f t="shared" si="240"/>
        <v>3.5</v>
      </c>
      <c r="AG155" s="686">
        <f t="shared" si="240"/>
        <v>3.5</v>
      </c>
      <c r="AH155" s="686">
        <f t="shared" si="240"/>
        <v>3.5</v>
      </c>
      <c r="AI155" s="686">
        <f t="shared" si="240"/>
        <v>3.5</v>
      </c>
      <c r="AJ155" s="686">
        <f t="shared" si="240"/>
        <v>3.5</v>
      </c>
    </row>
    <row r="156" spans="1:37" s="674" customFormat="1" ht="13.15" customHeight="1" x14ac:dyDescent="0.2">
      <c r="A156" s="680" t="s">
        <v>255</v>
      </c>
      <c r="B156" s="681"/>
      <c r="C156" s="690">
        <f t="shared" ref="C156:N156" si="241">C154*C155</f>
        <v>0</v>
      </c>
      <c r="D156" s="690">
        <f t="shared" si="241"/>
        <v>0</v>
      </c>
      <c r="E156" s="690">
        <f t="shared" si="241"/>
        <v>0</v>
      </c>
      <c r="F156" s="690">
        <f t="shared" si="241"/>
        <v>0</v>
      </c>
      <c r="G156" s="690">
        <f t="shared" si="241"/>
        <v>0</v>
      </c>
      <c r="H156" s="690">
        <f t="shared" si="241"/>
        <v>0</v>
      </c>
      <c r="I156" s="690">
        <f t="shared" si="241"/>
        <v>0</v>
      </c>
      <c r="J156" s="690">
        <f t="shared" si="241"/>
        <v>0</v>
      </c>
      <c r="K156" s="690">
        <f t="shared" si="241"/>
        <v>0</v>
      </c>
      <c r="L156" s="690">
        <f t="shared" si="241"/>
        <v>0</v>
      </c>
      <c r="M156" s="690">
        <f t="shared" si="241"/>
        <v>0</v>
      </c>
      <c r="N156" s="690">
        <f t="shared" si="241"/>
        <v>0</v>
      </c>
      <c r="O156" s="691">
        <f>SUM(C156:N156)</f>
        <v>0</v>
      </c>
      <c r="P156" s="690">
        <f t="shared" ref="P156:AA156" si="242">P154*P155</f>
        <v>0</v>
      </c>
      <c r="Q156" s="690">
        <f t="shared" si="242"/>
        <v>0</v>
      </c>
      <c r="R156" s="690">
        <f t="shared" si="242"/>
        <v>0</v>
      </c>
      <c r="S156" s="690">
        <f t="shared" si="242"/>
        <v>0</v>
      </c>
      <c r="T156" s="690">
        <f t="shared" si="242"/>
        <v>0</v>
      </c>
      <c r="U156" s="690">
        <f t="shared" si="242"/>
        <v>0</v>
      </c>
      <c r="V156" s="690">
        <f t="shared" si="242"/>
        <v>0</v>
      </c>
      <c r="W156" s="690">
        <f t="shared" si="242"/>
        <v>0</v>
      </c>
      <c r="X156" s="690">
        <f t="shared" si="242"/>
        <v>0</v>
      </c>
      <c r="Y156" s="690">
        <f t="shared" si="242"/>
        <v>0</v>
      </c>
      <c r="Z156" s="690">
        <f t="shared" si="242"/>
        <v>0</v>
      </c>
      <c r="AA156" s="690">
        <f t="shared" si="242"/>
        <v>0</v>
      </c>
      <c r="AB156" s="691">
        <f>SUM(P156:AA156)</f>
        <v>0</v>
      </c>
      <c r="AC156" s="690">
        <f t="shared" ref="AC156:AJ156" si="243">AC154*AC155</f>
        <v>0</v>
      </c>
      <c r="AD156" s="690">
        <f t="shared" si="243"/>
        <v>0</v>
      </c>
      <c r="AE156" s="690">
        <f t="shared" si="243"/>
        <v>0</v>
      </c>
      <c r="AF156" s="690">
        <f t="shared" si="243"/>
        <v>0</v>
      </c>
      <c r="AG156" s="690">
        <f t="shared" si="243"/>
        <v>0</v>
      </c>
      <c r="AH156" s="690">
        <f t="shared" si="243"/>
        <v>0</v>
      </c>
      <c r="AI156" s="690">
        <f t="shared" si="243"/>
        <v>0</v>
      </c>
      <c r="AJ156" s="690">
        <f t="shared" si="243"/>
        <v>0</v>
      </c>
    </row>
    <row r="157" spans="1:37" s="674" customFormat="1" ht="13.15" customHeight="1" x14ac:dyDescent="0.2">
      <c r="A157" s="680"/>
      <c r="B157" s="681"/>
      <c r="C157" s="682"/>
      <c r="D157" s="682"/>
      <c r="E157" s="682"/>
      <c r="F157" s="682"/>
      <c r="G157" s="682"/>
      <c r="H157" s="682"/>
      <c r="I157" s="682"/>
      <c r="J157" s="682"/>
      <c r="K157" s="682"/>
      <c r="L157" s="682"/>
      <c r="M157" s="682"/>
      <c r="N157" s="682"/>
      <c r="O157" s="683"/>
      <c r="P157" s="682"/>
      <c r="Q157" s="682"/>
      <c r="R157" s="682"/>
      <c r="S157" s="682"/>
      <c r="T157" s="682"/>
      <c r="U157" s="682"/>
      <c r="V157" s="682"/>
      <c r="W157" s="682"/>
      <c r="X157" s="682"/>
      <c r="Y157" s="682"/>
      <c r="Z157" s="682"/>
      <c r="AA157" s="682"/>
      <c r="AB157" s="683"/>
      <c r="AC157" s="683"/>
      <c r="AD157" s="683"/>
      <c r="AE157" s="683"/>
    </row>
    <row r="158" spans="1:37" s="684" customFormat="1" ht="13.15" customHeight="1" x14ac:dyDescent="0.2">
      <c r="A158" s="676" t="s">
        <v>257</v>
      </c>
      <c r="B158" s="677"/>
      <c r="C158" s="694">
        <f>C144+C150+C156</f>
        <v>0</v>
      </c>
      <c r="D158" s="694">
        <f t="shared" ref="D158:N158" si="244">D144+D150+D156</f>
        <v>0</v>
      </c>
      <c r="E158" s="694">
        <f t="shared" si="244"/>
        <v>0</v>
      </c>
      <c r="F158" s="694">
        <f t="shared" si="244"/>
        <v>0</v>
      </c>
      <c r="G158" s="694">
        <f t="shared" si="244"/>
        <v>0</v>
      </c>
      <c r="H158" s="694">
        <f t="shared" si="244"/>
        <v>0</v>
      </c>
      <c r="I158" s="694">
        <f t="shared" si="244"/>
        <v>0</v>
      </c>
      <c r="J158" s="694">
        <f t="shared" si="244"/>
        <v>0</v>
      </c>
      <c r="K158" s="694">
        <f t="shared" si="244"/>
        <v>0</v>
      </c>
      <c r="L158" s="694">
        <f t="shared" si="244"/>
        <v>0</v>
      </c>
      <c r="M158" s="694">
        <f t="shared" si="244"/>
        <v>0</v>
      </c>
      <c r="N158" s="694">
        <f t="shared" si="244"/>
        <v>0</v>
      </c>
      <c r="O158" s="679">
        <f>SUM(C158:N158)</f>
        <v>0</v>
      </c>
      <c r="P158" s="694">
        <f t="shared" ref="P158:AA158" si="245">P144+P150+P156</f>
        <v>0</v>
      </c>
      <c r="Q158" s="694">
        <f t="shared" si="245"/>
        <v>0</v>
      </c>
      <c r="R158" s="694">
        <f t="shared" si="245"/>
        <v>0</v>
      </c>
      <c r="S158" s="694">
        <f t="shared" si="245"/>
        <v>0</v>
      </c>
      <c r="T158" s="694">
        <f t="shared" si="245"/>
        <v>0</v>
      </c>
      <c r="U158" s="694">
        <f t="shared" si="245"/>
        <v>0</v>
      </c>
      <c r="V158" s="694">
        <f t="shared" si="245"/>
        <v>13.78125</v>
      </c>
      <c r="W158" s="694">
        <f t="shared" si="245"/>
        <v>27.5625</v>
      </c>
      <c r="X158" s="694">
        <f t="shared" si="245"/>
        <v>41.34375</v>
      </c>
      <c r="Y158" s="694">
        <f t="shared" si="245"/>
        <v>55.125</v>
      </c>
      <c r="Z158" s="694">
        <f t="shared" si="245"/>
        <v>68.90625</v>
      </c>
      <c r="AA158" s="694">
        <f t="shared" si="245"/>
        <v>82.6875</v>
      </c>
      <c r="AB158" s="694">
        <f>SUM(P158:AA158)</f>
        <v>289.40625</v>
      </c>
      <c r="AC158" s="694">
        <f t="shared" ref="AC158:AJ158" si="246">AC144+AC150+AC156</f>
        <v>2083.7249999999999</v>
      </c>
      <c r="AD158" s="694">
        <f t="shared" si="246"/>
        <v>4875.9164999999994</v>
      </c>
      <c r="AE158" s="694">
        <f t="shared" si="246"/>
        <v>10044.387989999999</v>
      </c>
      <c r="AF158" s="694">
        <f t="shared" si="246"/>
        <v>17265.186911700002</v>
      </c>
      <c r="AG158" s="694">
        <f t="shared" si="246"/>
        <v>22994.952238440001</v>
      </c>
      <c r="AH158" s="694">
        <f t="shared" si="246"/>
        <v>26827.444278180006</v>
      </c>
      <c r="AI158" s="694">
        <f t="shared" si="246"/>
        <v>30659.936317920001</v>
      </c>
      <c r="AJ158" s="694">
        <f t="shared" si="246"/>
        <v>34492.428357660006</v>
      </c>
    </row>
    <row r="159" spans="1:37" s="674" customFormat="1" ht="13.15" customHeight="1" x14ac:dyDescent="0.2">
      <c r="A159" s="680"/>
      <c r="B159" s="681"/>
      <c r="C159" s="682"/>
      <c r="D159" s="682"/>
      <c r="E159" s="682"/>
      <c r="F159" s="682"/>
      <c r="G159" s="682"/>
      <c r="H159" s="682"/>
      <c r="I159" s="682"/>
      <c r="J159" s="682"/>
      <c r="K159" s="682"/>
      <c r="L159" s="682"/>
      <c r="M159" s="682"/>
      <c r="N159" s="682"/>
      <c r="O159" s="683"/>
      <c r="P159" s="682"/>
      <c r="Q159" s="682"/>
      <c r="R159" s="682"/>
      <c r="S159" s="682"/>
      <c r="T159" s="682"/>
      <c r="U159" s="682"/>
      <c r="V159" s="682"/>
      <c r="W159" s="682"/>
      <c r="X159" s="682"/>
      <c r="Y159" s="682"/>
      <c r="Z159" s="682"/>
      <c r="AA159" s="682"/>
      <c r="AB159" s="683"/>
      <c r="AC159" s="683"/>
      <c r="AD159" s="683"/>
      <c r="AE159" s="683"/>
    </row>
    <row r="160" spans="1:37" s="674" customFormat="1" ht="13.15" customHeight="1" x14ac:dyDescent="0.2">
      <c r="A160" s="680" t="s">
        <v>258</v>
      </c>
      <c r="B160" s="681"/>
      <c r="C160" s="767">
        <f>C$25</f>
        <v>300</v>
      </c>
      <c r="D160" s="767">
        <f t="shared" ref="D160:AJ160" si="247">D$25</f>
        <v>300</v>
      </c>
      <c r="E160" s="767">
        <f t="shared" si="247"/>
        <v>300</v>
      </c>
      <c r="F160" s="767">
        <f t="shared" si="247"/>
        <v>300</v>
      </c>
      <c r="G160" s="767">
        <f t="shared" si="247"/>
        <v>300</v>
      </c>
      <c r="H160" s="767">
        <f t="shared" si="247"/>
        <v>300</v>
      </c>
      <c r="I160" s="767">
        <f t="shared" si="247"/>
        <v>300</v>
      </c>
      <c r="J160" s="767">
        <f t="shared" si="247"/>
        <v>300</v>
      </c>
      <c r="K160" s="767">
        <f t="shared" si="247"/>
        <v>300</v>
      </c>
      <c r="L160" s="767">
        <f t="shared" si="247"/>
        <v>300</v>
      </c>
      <c r="M160" s="767">
        <f t="shared" si="247"/>
        <v>300</v>
      </c>
      <c r="N160" s="767">
        <f t="shared" si="247"/>
        <v>300</v>
      </c>
      <c r="O160" s="767">
        <f t="shared" si="247"/>
        <v>300</v>
      </c>
      <c r="P160" s="767">
        <f t="shared" si="247"/>
        <v>300</v>
      </c>
      <c r="Q160" s="767">
        <f t="shared" si="247"/>
        <v>300</v>
      </c>
      <c r="R160" s="767">
        <f t="shared" si="247"/>
        <v>300</v>
      </c>
      <c r="S160" s="767">
        <f t="shared" si="247"/>
        <v>300</v>
      </c>
      <c r="T160" s="767">
        <f t="shared" si="247"/>
        <v>300</v>
      </c>
      <c r="U160" s="767">
        <f t="shared" si="247"/>
        <v>300</v>
      </c>
      <c r="V160" s="767">
        <f t="shared" si="247"/>
        <v>300</v>
      </c>
      <c r="W160" s="767">
        <f t="shared" si="247"/>
        <v>300</v>
      </c>
      <c r="X160" s="767">
        <f t="shared" si="247"/>
        <v>300</v>
      </c>
      <c r="Y160" s="767">
        <f t="shared" si="247"/>
        <v>300</v>
      </c>
      <c r="Z160" s="767">
        <f t="shared" si="247"/>
        <v>300</v>
      </c>
      <c r="AA160" s="767">
        <f t="shared" si="247"/>
        <v>300</v>
      </c>
      <c r="AB160" s="767">
        <f t="shared" si="247"/>
        <v>300</v>
      </c>
      <c r="AC160" s="767">
        <f t="shared" si="247"/>
        <v>300</v>
      </c>
      <c r="AD160" s="767">
        <f t="shared" si="247"/>
        <v>300</v>
      </c>
      <c r="AE160" s="767">
        <f t="shared" si="247"/>
        <v>300</v>
      </c>
      <c r="AF160" s="767">
        <f t="shared" si="247"/>
        <v>300</v>
      </c>
      <c r="AG160" s="767">
        <f t="shared" si="247"/>
        <v>300</v>
      </c>
      <c r="AH160" s="767">
        <f t="shared" si="247"/>
        <v>300</v>
      </c>
      <c r="AI160" s="767">
        <f t="shared" si="247"/>
        <v>300</v>
      </c>
      <c r="AJ160" s="767">
        <f t="shared" si="247"/>
        <v>300</v>
      </c>
      <c r="AK160" s="693"/>
    </row>
    <row r="161" spans="1:36" s="674" customFormat="1" ht="13.15" customHeight="1" x14ac:dyDescent="0.2">
      <c r="A161" s="680"/>
      <c r="B161" s="681"/>
      <c r="C161" s="682"/>
      <c r="D161" s="682"/>
      <c r="E161" s="682"/>
      <c r="F161" s="682"/>
      <c r="G161" s="682"/>
      <c r="H161" s="682"/>
      <c r="I161" s="682"/>
      <c r="J161" s="682"/>
      <c r="K161" s="682"/>
      <c r="L161" s="682"/>
      <c r="M161" s="682"/>
      <c r="N161" s="682"/>
      <c r="O161" s="683"/>
      <c r="P161" s="682"/>
      <c r="Q161" s="682"/>
      <c r="R161" s="682"/>
      <c r="S161" s="682"/>
      <c r="T161" s="682"/>
      <c r="U161" s="682"/>
      <c r="V161" s="682"/>
      <c r="W161" s="682"/>
      <c r="X161" s="682"/>
      <c r="Y161" s="682"/>
      <c r="Z161" s="682"/>
      <c r="AA161" s="682"/>
      <c r="AB161" s="683"/>
      <c r="AC161" s="683"/>
      <c r="AD161" s="683"/>
      <c r="AE161" s="683"/>
    </row>
    <row r="162" spans="1:36" s="766" customFormat="1" ht="13.15" customHeight="1" x14ac:dyDescent="0.2">
      <c r="A162" s="763" t="s">
        <v>419</v>
      </c>
      <c r="B162" s="764"/>
      <c r="C162" s="765">
        <f>C158*C160</f>
        <v>0</v>
      </c>
      <c r="D162" s="765">
        <f t="shared" ref="D162:N162" si="248">D158*D160</f>
        <v>0</v>
      </c>
      <c r="E162" s="765">
        <f t="shared" si="248"/>
        <v>0</v>
      </c>
      <c r="F162" s="765">
        <f t="shared" si="248"/>
        <v>0</v>
      </c>
      <c r="G162" s="765">
        <f t="shared" si="248"/>
        <v>0</v>
      </c>
      <c r="H162" s="765">
        <f t="shared" si="248"/>
        <v>0</v>
      </c>
      <c r="I162" s="765">
        <f t="shared" si="248"/>
        <v>0</v>
      </c>
      <c r="J162" s="765">
        <f t="shared" si="248"/>
        <v>0</v>
      </c>
      <c r="K162" s="765">
        <f t="shared" si="248"/>
        <v>0</v>
      </c>
      <c r="L162" s="765">
        <f t="shared" si="248"/>
        <v>0</v>
      </c>
      <c r="M162" s="765">
        <f t="shared" si="248"/>
        <v>0</v>
      </c>
      <c r="N162" s="765">
        <f t="shared" si="248"/>
        <v>0</v>
      </c>
      <c r="O162" s="765">
        <f>SUM(C162:N162)</f>
        <v>0</v>
      </c>
      <c r="P162" s="765">
        <f>P158*P160</f>
        <v>0</v>
      </c>
      <c r="Q162" s="765">
        <f t="shared" ref="Q162:AA162" si="249">Q158*Q160</f>
        <v>0</v>
      </c>
      <c r="R162" s="765">
        <f t="shared" si="249"/>
        <v>0</v>
      </c>
      <c r="S162" s="765">
        <f t="shared" si="249"/>
        <v>0</v>
      </c>
      <c r="T162" s="765">
        <f t="shared" si="249"/>
        <v>0</v>
      </c>
      <c r="U162" s="765">
        <f t="shared" si="249"/>
        <v>0</v>
      </c>
      <c r="V162" s="765">
        <f t="shared" si="249"/>
        <v>4134.375</v>
      </c>
      <c r="W162" s="765">
        <f t="shared" si="249"/>
        <v>8268.75</v>
      </c>
      <c r="X162" s="765">
        <f t="shared" si="249"/>
        <v>12403.125</v>
      </c>
      <c r="Y162" s="765">
        <f t="shared" si="249"/>
        <v>16537.5</v>
      </c>
      <c r="Z162" s="765">
        <f t="shared" si="249"/>
        <v>20671.875</v>
      </c>
      <c r="AA162" s="765">
        <f t="shared" si="249"/>
        <v>24806.25</v>
      </c>
      <c r="AB162" s="765">
        <f>SUM(P162:AA162)</f>
        <v>86821.875</v>
      </c>
      <c r="AC162" s="765">
        <f t="shared" ref="AC162:AJ162" si="250">AC158*AC160</f>
        <v>625117.5</v>
      </c>
      <c r="AD162" s="765">
        <f t="shared" si="250"/>
        <v>1462774.9499999997</v>
      </c>
      <c r="AE162" s="765">
        <f t="shared" si="250"/>
        <v>3013316.3969999999</v>
      </c>
      <c r="AF162" s="765">
        <f t="shared" si="250"/>
        <v>5179556.0735100005</v>
      </c>
      <c r="AG162" s="765">
        <f t="shared" si="250"/>
        <v>6898485.6715320004</v>
      </c>
      <c r="AH162" s="765">
        <f t="shared" si="250"/>
        <v>8048233.2834540019</v>
      </c>
      <c r="AI162" s="765">
        <f t="shared" si="250"/>
        <v>9197980.8953760006</v>
      </c>
      <c r="AJ162" s="765">
        <f t="shared" si="250"/>
        <v>10347728.507298002</v>
      </c>
    </row>
    <row r="163" spans="1:36" s="674" customFormat="1" ht="13.15" customHeight="1" x14ac:dyDescent="0.2">
      <c r="A163" s="680"/>
      <c r="B163" s="681"/>
      <c r="C163" s="682"/>
      <c r="D163" s="682"/>
      <c r="E163" s="682"/>
      <c r="F163" s="682"/>
      <c r="G163" s="682"/>
      <c r="H163" s="682"/>
      <c r="I163" s="682"/>
      <c r="J163" s="682"/>
      <c r="K163" s="682"/>
      <c r="L163" s="682"/>
      <c r="M163" s="682"/>
      <c r="N163" s="682"/>
      <c r="O163" s="683"/>
      <c r="P163" s="682"/>
      <c r="Q163" s="682"/>
      <c r="R163" s="682"/>
      <c r="S163" s="682"/>
      <c r="T163" s="682"/>
      <c r="U163" s="682"/>
      <c r="V163" s="682"/>
      <c r="W163" s="682"/>
      <c r="X163" s="682"/>
      <c r="Y163" s="682"/>
      <c r="Z163" s="682"/>
      <c r="AA163" s="682"/>
      <c r="AB163" s="683"/>
      <c r="AC163" s="683"/>
      <c r="AD163" s="683"/>
      <c r="AE163" s="683"/>
    </row>
    <row r="164" spans="1:36" s="674" customFormat="1" ht="13.15" customHeight="1" x14ac:dyDescent="0.2">
      <c r="A164" s="680"/>
      <c r="B164" s="681"/>
      <c r="C164" s="682"/>
      <c r="D164" s="682"/>
      <c r="E164" s="682"/>
      <c r="F164" s="682"/>
      <c r="G164" s="682"/>
      <c r="H164" s="682"/>
      <c r="I164" s="682"/>
      <c r="J164" s="682"/>
      <c r="K164" s="682"/>
      <c r="L164" s="682"/>
      <c r="M164" s="682"/>
      <c r="N164" s="682"/>
      <c r="O164" s="683"/>
      <c r="P164" s="682"/>
      <c r="Q164" s="682"/>
      <c r="R164" s="682"/>
      <c r="S164" s="682"/>
      <c r="T164" s="682"/>
      <c r="U164" s="682"/>
      <c r="V164" s="682"/>
      <c r="W164" s="682"/>
      <c r="X164" s="682"/>
      <c r="Y164" s="682"/>
      <c r="Z164" s="682"/>
      <c r="AA164" s="682"/>
      <c r="AB164" s="683"/>
      <c r="AC164" s="683"/>
      <c r="AD164" s="683"/>
      <c r="AE164" s="683"/>
    </row>
    <row r="165" spans="1:36" s="674" customFormat="1" ht="13.15" customHeight="1" x14ac:dyDescent="0.2">
      <c r="A165" s="676" t="s">
        <v>446</v>
      </c>
      <c r="B165" s="677"/>
      <c r="C165" s="678"/>
      <c r="D165" s="678"/>
      <c r="E165" s="678"/>
      <c r="F165" s="678"/>
      <c r="G165" s="678"/>
      <c r="H165" s="678"/>
      <c r="I165" s="678"/>
      <c r="J165" s="678"/>
      <c r="K165" s="678"/>
      <c r="L165" s="678"/>
      <c r="M165" s="678"/>
      <c r="N165" s="678"/>
      <c r="O165" s="679"/>
      <c r="P165" s="678"/>
      <c r="Q165" s="678"/>
      <c r="R165" s="678"/>
      <c r="S165" s="678"/>
      <c r="T165" s="678"/>
      <c r="U165" s="678"/>
      <c r="V165" s="678"/>
      <c r="W165" s="678"/>
      <c r="X165" s="678"/>
      <c r="Y165" s="678"/>
      <c r="Z165" s="678"/>
      <c r="AA165" s="678"/>
      <c r="AB165" s="679"/>
      <c r="AC165" s="679"/>
      <c r="AD165" s="679"/>
      <c r="AE165" s="679"/>
    </row>
    <row r="166" spans="1:36" s="674" customFormat="1" ht="13.15" customHeight="1" x14ac:dyDescent="0.2">
      <c r="A166" s="674" t="s">
        <v>250</v>
      </c>
      <c r="B166" s="681"/>
      <c r="C166" s="690">
        <f>$O166/12</f>
        <v>5000</v>
      </c>
      <c r="D166" s="690">
        <f t="shared" ref="D166:N166" si="251">$O166/12</f>
        <v>5000</v>
      </c>
      <c r="E166" s="690">
        <f t="shared" si="251"/>
        <v>5000</v>
      </c>
      <c r="F166" s="690">
        <f t="shared" si="251"/>
        <v>5000</v>
      </c>
      <c r="G166" s="690">
        <f t="shared" si="251"/>
        <v>5000</v>
      </c>
      <c r="H166" s="690">
        <f t="shared" si="251"/>
        <v>5000</v>
      </c>
      <c r="I166" s="690">
        <f t="shared" si="251"/>
        <v>5000</v>
      </c>
      <c r="J166" s="690">
        <f t="shared" si="251"/>
        <v>5000</v>
      </c>
      <c r="K166" s="690">
        <f t="shared" si="251"/>
        <v>5000</v>
      </c>
      <c r="L166" s="690">
        <f t="shared" si="251"/>
        <v>5000</v>
      </c>
      <c r="M166" s="690">
        <f t="shared" si="251"/>
        <v>5000</v>
      </c>
      <c r="N166" s="690">
        <f t="shared" si="251"/>
        <v>5000</v>
      </c>
      <c r="O166" s="689">
        <v>60000</v>
      </c>
      <c r="P166" s="690">
        <f>$AB166/12</f>
        <v>5250</v>
      </c>
      <c r="Q166" s="690">
        <f t="shared" ref="Q166:AA166" si="252">$AB166/12</f>
        <v>5250</v>
      </c>
      <c r="R166" s="690">
        <f t="shared" si="252"/>
        <v>5250</v>
      </c>
      <c r="S166" s="690">
        <f t="shared" si="252"/>
        <v>5250</v>
      </c>
      <c r="T166" s="690">
        <f t="shared" si="252"/>
        <v>5250</v>
      </c>
      <c r="U166" s="690">
        <f t="shared" si="252"/>
        <v>5250</v>
      </c>
      <c r="V166" s="690">
        <f t="shared" si="252"/>
        <v>5250</v>
      </c>
      <c r="W166" s="690">
        <f t="shared" si="252"/>
        <v>5250</v>
      </c>
      <c r="X166" s="690">
        <f t="shared" si="252"/>
        <v>5250</v>
      </c>
      <c r="Y166" s="690">
        <f t="shared" si="252"/>
        <v>5250</v>
      </c>
      <c r="Z166" s="690">
        <f t="shared" si="252"/>
        <v>5250</v>
      </c>
      <c r="AA166" s="690">
        <f t="shared" si="252"/>
        <v>5250</v>
      </c>
      <c r="AB166" s="690">
        <f>O166*(1+AB167)</f>
        <v>63000</v>
      </c>
      <c r="AC166" s="690">
        <f t="shared" ref="AC166:AJ166" si="253">AB166*(1+AC167)</f>
        <v>66150</v>
      </c>
      <c r="AD166" s="690">
        <f t="shared" si="253"/>
        <v>68796</v>
      </c>
      <c r="AE166" s="690">
        <f t="shared" si="253"/>
        <v>70859.88</v>
      </c>
      <c r="AF166" s="690">
        <f t="shared" si="253"/>
        <v>72277.077600000004</v>
      </c>
      <c r="AG166" s="690">
        <f t="shared" si="253"/>
        <v>72999.848376000009</v>
      </c>
      <c r="AH166" s="690">
        <f t="shared" si="253"/>
        <v>72999.848376000009</v>
      </c>
      <c r="AI166" s="690">
        <f t="shared" si="253"/>
        <v>72999.848376000009</v>
      </c>
      <c r="AJ166" s="690">
        <f t="shared" si="253"/>
        <v>72999.848376000009</v>
      </c>
    </row>
    <row r="167" spans="1:36" s="688" customFormat="1" ht="13.15" customHeight="1" x14ac:dyDescent="0.2">
      <c r="A167" s="680" t="s">
        <v>324</v>
      </c>
      <c r="B167" s="681"/>
      <c r="C167" s="687"/>
      <c r="D167" s="687"/>
      <c r="E167" s="687"/>
      <c r="F167" s="687"/>
      <c r="G167" s="687"/>
      <c r="H167" s="687"/>
      <c r="I167" s="687"/>
      <c r="J167" s="687"/>
      <c r="K167" s="687"/>
      <c r="L167" s="687"/>
      <c r="M167" s="687"/>
      <c r="N167" s="687"/>
      <c r="O167" s="692"/>
      <c r="P167" s="687"/>
      <c r="Q167" s="687"/>
      <c r="R167" s="687"/>
      <c r="S167" s="687"/>
      <c r="T167" s="687"/>
      <c r="U167" s="687"/>
      <c r="V167" s="687"/>
      <c r="W167" s="687"/>
      <c r="X167" s="687"/>
      <c r="Y167" s="687"/>
      <c r="Z167" s="687"/>
      <c r="AA167" s="687"/>
      <c r="AB167" s="687">
        <v>0.05</v>
      </c>
      <c r="AC167" s="687">
        <v>0.05</v>
      </c>
      <c r="AD167" s="687">
        <f>AC167-1%</f>
        <v>0.04</v>
      </c>
      <c r="AE167" s="687">
        <f>AD167-1%</f>
        <v>0.03</v>
      </c>
      <c r="AF167" s="687">
        <f>AE167-1%</f>
        <v>1.9999999999999997E-2</v>
      </c>
      <c r="AG167" s="687">
        <f>AF167-1%</f>
        <v>9.9999999999999967E-3</v>
      </c>
      <c r="AH167" s="687">
        <f>AG167-1%</f>
        <v>0</v>
      </c>
      <c r="AI167" s="688">
        <f>AH167</f>
        <v>0</v>
      </c>
      <c r="AJ167" s="688">
        <f>AI167</f>
        <v>0</v>
      </c>
    </row>
    <row r="168" spans="1:36" s="688" customFormat="1" ht="13.15" customHeight="1" x14ac:dyDescent="0.2">
      <c r="A168" s="680" t="s">
        <v>248</v>
      </c>
      <c r="B168" s="681"/>
      <c r="C168" s="687">
        <f t="shared" ref="C168:N168" si="254">C141</f>
        <v>0</v>
      </c>
      <c r="D168" s="687">
        <f t="shared" si="254"/>
        <v>0</v>
      </c>
      <c r="E168" s="687">
        <f t="shared" si="254"/>
        <v>0</v>
      </c>
      <c r="F168" s="687">
        <f t="shared" si="254"/>
        <v>0</v>
      </c>
      <c r="G168" s="687">
        <f t="shared" si="254"/>
        <v>0</v>
      </c>
      <c r="H168" s="687">
        <f t="shared" si="254"/>
        <v>0</v>
      </c>
      <c r="I168" s="687">
        <f t="shared" si="254"/>
        <v>0</v>
      </c>
      <c r="J168" s="687">
        <f t="shared" si="254"/>
        <v>0</v>
      </c>
      <c r="K168" s="687">
        <f t="shared" si="254"/>
        <v>0</v>
      </c>
      <c r="L168" s="687">
        <f t="shared" si="254"/>
        <v>0</v>
      </c>
      <c r="M168" s="687">
        <f t="shared" si="254"/>
        <v>0</v>
      </c>
      <c r="N168" s="687">
        <f t="shared" si="254"/>
        <v>0</v>
      </c>
      <c r="O168" s="692">
        <f>N168</f>
        <v>0</v>
      </c>
      <c r="P168" s="687">
        <v>0</v>
      </c>
      <c r="Q168" s="687">
        <f t="shared" ref="Q168:AB168" si="255">P168</f>
        <v>0</v>
      </c>
      <c r="R168" s="687">
        <f t="shared" si="255"/>
        <v>0</v>
      </c>
      <c r="S168" s="687">
        <f t="shared" si="255"/>
        <v>0</v>
      </c>
      <c r="T168" s="687">
        <f t="shared" si="255"/>
        <v>0</v>
      </c>
      <c r="U168" s="687">
        <f t="shared" si="255"/>
        <v>0</v>
      </c>
      <c r="V168" s="687">
        <f t="shared" si="255"/>
        <v>0</v>
      </c>
      <c r="W168" s="687">
        <f t="shared" si="255"/>
        <v>0</v>
      </c>
      <c r="X168" s="687">
        <f t="shared" si="255"/>
        <v>0</v>
      </c>
      <c r="Y168" s="687">
        <f t="shared" si="255"/>
        <v>0</v>
      </c>
      <c r="Z168" s="687">
        <f t="shared" si="255"/>
        <v>0</v>
      </c>
      <c r="AA168" s="687">
        <f t="shared" si="255"/>
        <v>0</v>
      </c>
      <c r="AB168" s="692">
        <f t="shared" si="255"/>
        <v>0</v>
      </c>
      <c r="AC168" s="687">
        <f>AB6</f>
        <v>1.2000000000000004E-2</v>
      </c>
      <c r="AD168" s="687">
        <f t="shared" ref="AD168:AJ168" si="256">AC6</f>
        <v>2.4000000000000007E-2</v>
      </c>
      <c r="AE168" s="687">
        <f t="shared" si="256"/>
        <v>4.8000000000000015E-2</v>
      </c>
      <c r="AF168" s="687">
        <f t="shared" si="256"/>
        <v>9.600000000000003E-2</v>
      </c>
      <c r="AG168" s="687">
        <f t="shared" si="256"/>
        <v>0.12</v>
      </c>
      <c r="AH168" s="687">
        <f t="shared" si="256"/>
        <v>0.13999999999999999</v>
      </c>
      <c r="AI168" s="687">
        <f t="shared" si="256"/>
        <v>0.15999999999999998</v>
      </c>
      <c r="AJ168" s="687">
        <f t="shared" si="256"/>
        <v>0.17999999999999997</v>
      </c>
    </row>
    <row r="169" spans="1:36" s="674" customFormat="1" ht="13.15" customHeight="1" x14ac:dyDescent="0.2">
      <c r="A169" s="680" t="s">
        <v>251</v>
      </c>
      <c r="B169" s="681"/>
      <c r="C169" s="690">
        <f t="shared" ref="C169:N169" si="257">C166*C168</f>
        <v>0</v>
      </c>
      <c r="D169" s="690">
        <f t="shared" si="257"/>
        <v>0</v>
      </c>
      <c r="E169" s="690">
        <f t="shared" si="257"/>
        <v>0</v>
      </c>
      <c r="F169" s="690">
        <f t="shared" si="257"/>
        <v>0</v>
      </c>
      <c r="G169" s="690">
        <f t="shared" si="257"/>
        <v>0</v>
      </c>
      <c r="H169" s="690">
        <f t="shared" si="257"/>
        <v>0</v>
      </c>
      <c r="I169" s="690">
        <f t="shared" si="257"/>
        <v>0</v>
      </c>
      <c r="J169" s="690">
        <f t="shared" si="257"/>
        <v>0</v>
      </c>
      <c r="K169" s="690">
        <f t="shared" si="257"/>
        <v>0</v>
      </c>
      <c r="L169" s="690">
        <f t="shared" si="257"/>
        <v>0</v>
      </c>
      <c r="M169" s="690">
        <f t="shared" si="257"/>
        <v>0</v>
      </c>
      <c r="N169" s="690">
        <f t="shared" si="257"/>
        <v>0</v>
      </c>
      <c r="O169" s="683">
        <f>SUM(C169:N169)</f>
        <v>0</v>
      </c>
      <c r="P169" s="690">
        <f t="shared" ref="P169:AA169" si="258">P166*P168</f>
        <v>0</v>
      </c>
      <c r="Q169" s="690">
        <f t="shared" si="258"/>
        <v>0</v>
      </c>
      <c r="R169" s="690">
        <f t="shared" si="258"/>
        <v>0</v>
      </c>
      <c r="S169" s="690">
        <f t="shared" si="258"/>
        <v>0</v>
      </c>
      <c r="T169" s="690">
        <f t="shared" si="258"/>
        <v>0</v>
      </c>
      <c r="U169" s="690">
        <f t="shared" si="258"/>
        <v>0</v>
      </c>
      <c r="V169" s="690">
        <f t="shared" si="258"/>
        <v>0</v>
      </c>
      <c r="W169" s="690">
        <f t="shared" si="258"/>
        <v>0</v>
      </c>
      <c r="X169" s="690">
        <f t="shared" si="258"/>
        <v>0</v>
      </c>
      <c r="Y169" s="690">
        <f t="shared" si="258"/>
        <v>0</v>
      </c>
      <c r="Z169" s="690">
        <f t="shared" si="258"/>
        <v>0</v>
      </c>
      <c r="AA169" s="690">
        <f t="shared" si="258"/>
        <v>0</v>
      </c>
      <c r="AB169" s="690">
        <f>SUM(P169:AA169)</f>
        <v>0</v>
      </c>
      <c r="AC169" s="690">
        <f>AC166*AVERAGE(AA168,AC168)</f>
        <v>396.90000000000015</v>
      </c>
      <c r="AD169" s="690">
        <f t="shared" ref="AD169:AJ169" si="259">AD166*AVERAGE(AC168,AD168)</f>
        <v>1238.3280000000004</v>
      </c>
      <c r="AE169" s="690">
        <f t="shared" si="259"/>
        <v>2550.9556800000009</v>
      </c>
      <c r="AF169" s="690">
        <f t="shared" si="259"/>
        <v>5203.9495872000016</v>
      </c>
      <c r="AG169" s="690">
        <f t="shared" si="259"/>
        <v>7883.9836246080022</v>
      </c>
      <c r="AH169" s="690">
        <f t="shared" si="259"/>
        <v>9489.9802888800023</v>
      </c>
      <c r="AI169" s="690">
        <f t="shared" si="259"/>
        <v>10949.9772564</v>
      </c>
      <c r="AJ169" s="690">
        <f t="shared" si="259"/>
        <v>12409.97422392</v>
      </c>
    </row>
    <row r="170" spans="1:36" s="674" customFormat="1" ht="13.15" customHeight="1" x14ac:dyDescent="0.2">
      <c r="A170" s="680" t="s">
        <v>249</v>
      </c>
      <c r="B170" s="681"/>
      <c r="C170" s="686">
        <v>2.5</v>
      </c>
      <c r="D170" s="686">
        <f t="shared" ref="D170:O170" si="260">C170</f>
        <v>2.5</v>
      </c>
      <c r="E170" s="686">
        <f t="shared" si="260"/>
        <v>2.5</v>
      </c>
      <c r="F170" s="686">
        <f t="shared" si="260"/>
        <v>2.5</v>
      </c>
      <c r="G170" s="686">
        <f t="shared" si="260"/>
        <v>2.5</v>
      </c>
      <c r="H170" s="686">
        <f t="shared" si="260"/>
        <v>2.5</v>
      </c>
      <c r="I170" s="686">
        <f t="shared" si="260"/>
        <v>2.5</v>
      </c>
      <c r="J170" s="686">
        <f t="shared" si="260"/>
        <v>2.5</v>
      </c>
      <c r="K170" s="686">
        <f t="shared" si="260"/>
        <v>2.5</v>
      </c>
      <c r="L170" s="686">
        <f t="shared" si="260"/>
        <v>2.5</v>
      </c>
      <c r="M170" s="686">
        <f t="shared" si="260"/>
        <v>2.5</v>
      </c>
      <c r="N170" s="686">
        <f t="shared" si="260"/>
        <v>2.5</v>
      </c>
      <c r="O170" s="685">
        <f t="shared" si="260"/>
        <v>2.5</v>
      </c>
      <c r="P170" s="686">
        <f>N170</f>
        <v>2.5</v>
      </c>
      <c r="Q170" s="686">
        <f t="shared" ref="Q170:AB170" si="261">P170</f>
        <v>2.5</v>
      </c>
      <c r="R170" s="686">
        <f t="shared" si="261"/>
        <v>2.5</v>
      </c>
      <c r="S170" s="686">
        <f t="shared" si="261"/>
        <v>2.5</v>
      </c>
      <c r="T170" s="686">
        <f t="shared" si="261"/>
        <v>2.5</v>
      </c>
      <c r="U170" s="686">
        <f t="shared" si="261"/>
        <v>2.5</v>
      </c>
      <c r="V170" s="686">
        <f t="shared" si="261"/>
        <v>2.5</v>
      </c>
      <c r="W170" s="686">
        <f t="shared" si="261"/>
        <v>2.5</v>
      </c>
      <c r="X170" s="686">
        <f t="shared" si="261"/>
        <v>2.5</v>
      </c>
      <c r="Y170" s="686">
        <f t="shared" si="261"/>
        <v>2.5</v>
      </c>
      <c r="Z170" s="686">
        <f t="shared" si="261"/>
        <v>2.5</v>
      </c>
      <c r="AA170" s="686">
        <f t="shared" si="261"/>
        <v>2.5</v>
      </c>
      <c r="AB170" s="686">
        <f t="shared" si="261"/>
        <v>2.5</v>
      </c>
      <c r="AC170" s="686">
        <f>AA170</f>
        <v>2.5</v>
      </c>
      <c r="AD170" s="686">
        <f t="shared" ref="AD170:AJ170" si="262">AC170</f>
        <v>2.5</v>
      </c>
      <c r="AE170" s="686">
        <f t="shared" si="262"/>
        <v>2.5</v>
      </c>
      <c r="AF170" s="686">
        <f t="shared" si="262"/>
        <v>2.5</v>
      </c>
      <c r="AG170" s="686">
        <f t="shared" si="262"/>
        <v>2.5</v>
      </c>
      <c r="AH170" s="686">
        <f t="shared" si="262"/>
        <v>2.5</v>
      </c>
      <c r="AI170" s="686">
        <f t="shared" si="262"/>
        <v>2.5</v>
      </c>
      <c r="AJ170" s="686">
        <f t="shared" si="262"/>
        <v>2.5</v>
      </c>
    </row>
    <row r="171" spans="1:36" s="674" customFormat="1" ht="13.15" customHeight="1" x14ac:dyDescent="0.2">
      <c r="A171" s="680" t="s">
        <v>255</v>
      </c>
      <c r="B171" s="681"/>
      <c r="C171" s="690">
        <f t="shared" ref="C171:N171" si="263">C169*C170</f>
        <v>0</v>
      </c>
      <c r="D171" s="690">
        <f t="shared" si="263"/>
        <v>0</v>
      </c>
      <c r="E171" s="690">
        <f t="shared" si="263"/>
        <v>0</v>
      </c>
      <c r="F171" s="690">
        <f t="shared" si="263"/>
        <v>0</v>
      </c>
      <c r="G171" s="690">
        <f t="shared" si="263"/>
        <v>0</v>
      </c>
      <c r="H171" s="690">
        <f t="shared" si="263"/>
        <v>0</v>
      </c>
      <c r="I171" s="690">
        <f t="shared" si="263"/>
        <v>0</v>
      </c>
      <c r="J171" s="690">
        <f t="shared" si="263"/>
        <v>0</v>
      </c>
      <c r="K171" s="690">
        <f t="shared" si="263"/>
        <v>0</v>
      </c>
      <c r="L171" s="690">
        <f t="shared" si="263"/>
        <v>0</v>
      </c>
      <c r="M171" s="690">
        <f t="shared" si="263"/>
        <v>0</v>
      </c>
      <c r="N171" s="690">
        <f t="shared" si="263"/>
        <v>0</v>
      </c>
      <c r="O171" s="691">
        <f>SUM(C171:N171)</f>
        <v>0</v>
      </c>
      <c r="P171" s="690">
        <f t="shared" ref="P171:AA171" si="264">P169*P170</f>
        <v>0</v>
      </c>
      <c r="Q171" s="690">
        <f t="shared" si="264"/>
        <v>0</v>
      </c>
      <c r="R171" s="690">
        <f t="shared" si="264"/>
        <v>0</v>
      </c>
      <c r="S171" s="690">
        <f t="shared" si="264"/>
        <v>0</v>
      </c>
      <c r="T171" s="690">
        <f t="shared" si="264"/>
        <v>0</v>
      </c>
      <c r="U171" s="690">
        <f t="shared" si="264"/>
        <v>0</v>
      </c>
      <c r="V171" s="690">
        <f t="shared" si="264"/>
        <v>0</v>
      </c>
      <c r="W171" s="690">
        <f t="shared" si="264"/>
        <v>0</v>
      </c>
      <c r="X171" s="690">
        <f t="shared" si="264"/>
        <v>0</v>
      </c>
      <c r="Y171" s="690">
        <f t="shared" si="264"/>
        <v>0</v>
      </c>
      <c r="Z171" s="690">
        <f t="shared" si="264"/>
        <v>0</v>
      </c>
      <c r="AA171" s="690">
        <f t="shared" si="264"/>
        <v>0</v>
      </c>
      <c r="AB171" s="691">
        <f>SUM(P171:AA171)</f>
        <v>0</v>
      </c>
      <c r="AC171" s="690">
        <f t="shared" ref="AC171:AJ171" si="265">AC169*AC170</f>
        <v>992.25000000000034</v>
      </c>
      <c r="AD171" s="690">
        <f t="shared" si="265"/>
        <v>3095.8200000000011</v>
      </c>
      <c r="AE171" s="690">
        <f t="shared" si="265"/>
        <v>6377.3892000000023</v>
      </c>
      <c r="AF171" s="690">
        <f t="shared" si="265"/>
        <v>13009.873968000004</v>
      </c>
      <c r="AG171" s="690">
        <f t="shared" si="265"/>
        <v>19709.959061520007</v>
      </c>
      <c r="AH171" s="690">
        <f t="shared" si="265"/>
        <v>23724.950722200007</v>
      </c>
      <c r="AI171" s="690">
        <f t="shared" si="265"/>
        <v>27374.943141</v>
      </c>
      <c r="AJ171" s="690">
        <f t="shared" si="265"/>
        <v>31024.9355598</v>
      </c>
    </row>
    <row r="173" spans="1:36" s="674" customFormat="1" ht="13.15" customHeight="1" x14ac:dyDescent="0.2">
      <c r="A173" s="680" t="s">
        <v>253</v>
      </c>
      <c r="B173" s="681"/>
      <c r="C173" s="689">
        <v>0</v>
      </c>
      <c r="D173" s="689">
        <v>0</v>
      </c>
      <c r="E173" s="689">
        <v>0</v>
      </c>
      <c r="F173" s="689">
        <v>0</v>
      </c>
      <c r="G173" s="689">
        <v>0</v>
      </c>
      <c r="H173" s="689">
        <v>0</v>
      </c>
      <c r="I173" s="689">
        <v>0</v>
      </c>
      <c r="J173" s="689">
        <v>0</v>
      </c>
      <c r="K173" s="689">
        <v>0</v>
      </c>
      <c r="L173" s="689">
        <v>0</v>
      </c>
      <c r="M173" s="689">
        <v>0</v>
      </c>
      <c r="N173" s="689">
        <v>0</v>
      </c>
      <c r="O173" s="690">
        <f>N173</f>
        <v>0</v>
      </c>
      <c r="P173" s="689">
        <f>N173</f>
        <v>0</v>
      </c>
      <c r="Q173" s="689">
        <f t="shared" ref="Q173:AB173" si="266">P173</f>
        <v>0</v>
      </c>
      <c r="R173" s="689">
        <f t="shared" si="266"/>
        <v>0</v>
      </c>
      <c r="S173" s="689">
        <f t="shared" si="266"/>
        <v>0</v>
      </c>
      <c r="T173" s="689">
        <f t="shared" si="266"/>
        <v>0</v>
      </c>
      <c r="U173" s="689">
        <f t="shared" si="266"/>
        <v>0</v>
      </c>
      <c r="V173" s="689">
        <f t="shared" si="266"/>
        <v>0</v>
      </c>
      <c r="W173" s="689">
        <f t="shared" si="266"/>
        <v>0</v>
      </c>
      <c r="X173" s="689">
        <f t="shared" si="266"/>
        <v>0</v>
      </c>
      <c r="Y173" s="689">
        <f t="shared" si="266"/>
        <v>0</v>
      </c>
      <c r="Z173" s="689">
        <f t="shared" si="266"/>
        <v>0</v>
      </c>
      <c r="AA173" s="689">
        <f t="shared" si="266"/>
        <v>0</v>
      </c>
      <c r="AB173" s="690">
        <f t="shared" si="266"/>
        <v>0</v>
      </c>
      <c r="AC173" s="689">
        <f>AA173</f>
        <v>0</v>
      </c>
      <c r="AD173" s="689">
        <f t="shared" ref="AD173:AJ173" si="267">AC173</f>
        <v>0</v>
      </c>
      <c r="AE173" s="689">
        <f t="shared" si="267"/>
        <v>0</v>
      </c>
      <c r="AF173" s="689">
        <f t="shared" si="267"/>
        <v>0</v>
      </c>
      <c r="AG173" s="689">
        <f t="shared" si="267"/>
        <v>0</v>
      </c>
      <c r="AH173" s="689">
        <f t="shared" si="267"/>
        <v>0</v>
      </c>
      <c r="AI173" s="689">
        <f t="shared" si="267"/>
        <v>0</v>
      </c>
      <c r="AJ173" s="689">
        <f t="shared" si="267"/>
        <v>0</v>
      </c>
    </row>
    <row r="174" spans="1:36" s="674" customFormat="1" ht="13.15" customHeight="1" x14ac:dyDescent="0.2">
      <c r="A174" s="680" t="s">
        <v>252</v>
      </c>
      <c r="B174" s="681"/>
      <c r="C174" s="689">
        <f>100/12</f>
        <v>8.3333333333333339</v>
      </c>
      <c r="D174" s="689">
        <f t="shared" ref="D174:N174" si="268">100/12</f>
        <v>8.3333333333333339</v>
      </c>
      <c r="E174" s="689">
        <f t="shared" si="268"/>
        <v>8.3333333333333339</v>
      </c>
      <c r="F174" s="689">
        <f t="shared" si="268"/>
        <v>8.3333333333333339</v>
      </c>
      <c r="G174" s="689">
        <f t="shared" si="268"/>
        <v>8.3333333333333339</v>
      </c>
      <c r="H174" s="689">
        <f t="shared" si="268"/>
        <v>8.3333333333333339</v>
      </c>
      <c r="I174" s="689">
        <f t="shared" si="268"/>
        <v>8.3333333333333339</v>
      </c>
      <c r="J174" s="689">
        <f t="shared" si="268"/>
        <v>8.3333333333333339</v>
      </c>
      <c r="K174" s="689">
        <f t="shared" si="268"/>
        <v>8.3333333333333339</v>
      </c>
      <c r="L174" s="689">
        <f t="shared" si="268"/>
        <v>8.3333333333333339</v>
      </c>
      <c r="M174" s="689">
        <f t="shared" si="268"/>
        <v>8.3333333333333339</v>
      </c>
      <c r="N174" s="689">
        <f t="shared" si="268"/>
        <v>8.3333333333333339</v>
      </c>
      <c r="O174" s="683">
        <f>SUM(C174:N174)</f>
        <v>99.999999999999986</v>
      </c>
      <c r="P174" s="689">
        <f t="shared" ref="P174:AA174" si="269">100/12</f>
        <v>8.3333333333333339</v>
      </c>
      <c r="Q174" s="689">
        <f t="shared" si="269"/>
        <v>8.3333333333333339</v>
      </c>
      <c r="R174" s="689">
        <f t="shared" si="269"/>
        <v>8.3333333333333339</v>
      </c>
      <c r="S174" s="689">
        <f t="shared" si="269"/>
        <v>8.3333333333333339</v>
      </c>
      <c r="T174" s="689">
        <f t="shared" si="269"/>
        <v>8.3333333333333339</v>
      </c>
      <c r="U174" s="689">
        <f t="shared" si="269"/>
        <v>8.3333333333333339</v>
      </c>
      <c r="V174" s="689">
        <f t="shared" si="269"/>
        <v>8.3333333333333339</v>
      </c>
      <c r="W174" s="689">
        <f t="shared" si="269"/>
        <v>8.3333333333333339</v>
      </c>
      <c r="X174" s="689">
        <f t="shared" si="269"/>
        <v>8.3333333333333339</v>
      </c>
      <c r="Y174" s="689">
        <f t="shared" si="269"/>
        <v>8.3333333333333339</v>
      </c>
      <c r="Z174" s="689">
        <f t="shared" si="269"/>
        <v>8.3333333333333339</v>
      </c>
      <c r="AA174" s="689">
        <f t="shared" si="269"/>
        <v>8.3333333333333339</v>
      </c>
      <c r="AB174" s="683">
        <f>SUM(P174:AA174)</f>
        <v>99.999999999999986</v>
      </c>
      <c r="AC174" s="689">
        <v>100</v>
      </c>
      <c r="AD174" s="689">
        <v>100</v>
      </c>
      <c r="AE174" s="689">
        <v>100</v>
      </c>
      <c r="AF174" s="689">
        <v>100</v>
      </c>
      <c r="AG174" s="689">
        <v>100</v>
      </c>
      <c r="AH174" s="689">
        <v>100</v>
      </c>
      <c r="AI174" s="689">
        <v>100</v>
      </c>
      <c r="AJ174" s="689">
        <v>100</v>
      </c>
    </row>
    <row r="175" spans="1:36" s="674" customFormat="1" ht="13.15" customHeight="1" x14ac:dyDescent="0.2">
      <c r="A175" s="680" t="s">
        <v>254</v>
      </c>
      <c r="B175" s="681"/>
      <c r="C175" s="690">
        <f t="shared" ref="C175:N175" si="270">C173*C174</f>
        <v>0</v>
      </c>
      <c r="D175" s="690">
        <f t="shared" si="270"/>
        <v>0</v>
      </c>
      <c r="E175" s="690">
        <f t="shared" si="270"/>
        <v>0</v>
      </c>
      <c r="F175" s="690">
        <f t="shared" si="270"/>
        <v>0</v>
      </c>
      <c r="G175" s="690">
        <f t="shared" si="270"/>
        <v>0</v>
      </c>
      <c r="H175" s="690">
        <f t="shared" si="270"/>
        <v>0</v>
      </c>
      <c r="I175" s="690">
        <f t="shared" si="270"/>
        <v>0</v>
      </c>
      <c r="J175" s="690">
        <f t="shared" si="270"/>
        <v>0</v>
      </c>
      <c r="K175" s="690">
        <f t="shared" si="270"/>
        <v>0</v>
      </c>
      <c r="L175" s="690">
        <f t="shared" si="270"/>
        <v>0</v>
      </c>
      <c r="M175" s="690">
        <f t="shared" si="270"/>
        <v>0</v>
      </c>
      <c r="N175" s="690">
        <f t="shared" si="270"/>
        <v>0</v>
      </c>
      <c r="O175" s="683">
        <f>SUM(C175:N175)</f>
        <v>0</v>
      </c>
      <c r="P175" s="690">
        <f t="shared" ref="P175:AA175" si="271">P173*P174</f>
        <v>0</v>
      </c>
      <c r="Q175" s="690">
        <f t="shared" si="271"/>
        <v>0</v>
      </c>
      <c r="R175" s="690">
        <f t="shared" si="271"/>
        <v>0</v>
      </c>
      <c r="S175" s="690">
        <f t="shared" si="271"/>
        <v>0</v>
      </c>
      <c r="T175" s="690">
        <f t="shared" si="271"/>
        <v>0</v>
      </c>
      <c r="U175" s="690">
        <f t="shared" si="271"/>
        <v>0</v>
      </c>
      <c r="V175" s="690">
        <f t="shared" si="271"/>
        <v>0</v>
      </c>
      <c r="W175" s="690">
        <f t="shared" si="271"/>
        <v>0</v>
      </c>
      <c r="X175" s="690">
        <f t="shared" si="271"/>
        <v>0</v>
      </c>
      <c r="Y175" s="690">
        <f t="shared" si="271"/>
        <v>0</v>
      </c>
      <c r="Z175" s="690">
        <f t="shared" si="271"/>
        <v>0</v>
      </c>
      <c r="AA175" s="690">
        <f t="shared" si="271"/>
        <v>0</v>
      </c>
      <c r="AB175" s="690">
        <f>SUM(P175:AA175)</f>
        <v>0</v>
      </c>
      <c r="AC175" s="690">
        <f t="shared" ref="AC175:AJ175" si="272">AC173*AC174</f>
        <v>0</v>
      </c>
      <c r="AD175" s="690">
        <f t="shared" si="272"/>
        <v>0</v>
      </c>
      <c r="AE175" s="690">
        <f t="shared" si="272"/>
        <v>0</v>
      </c>
      <c r="AF175" s="690">
        <f t="shared" si="272"/>
        <v>0</v>
      </c>
      <c r="AG175" s="690">
        <f t="shared" si="272"/>
        <v>0</v>
      </c>
      <c r="AH175" s="690">
        <f t="shared" si="272"/>
        <v>0</v>
      </c>
      <c r="AI175" s="690">
        <f t="shared" si="272"/>
        <v>0</v>
      </c>
      <c r="AJ175" s="690">
        <f t="shared" si="272"/>
        <v>0</v>
      </c>
    </row>
    <row r="176" spans="1:36" s="674" customFormat="1" ht="13.15" customHeight="1" x14ac:dyDescent="0.2">
      <c r="A176" s="680" t="s">
        <v>249</v>
      </c>
      <c r="B176" s="681"/>
      <c r="C176" s="686">
        <f>C170</f>
        <v>2.5</v>
      </c>
      <c r="D176" s="686">
        <f t="shared" ref="D176:AJ176" si="273">D170</f>
        <v>2.5</v>
      </c>
      <c r="E176" s="686">
        <f t="shared" si="273"/>
        <v>2.5</v>
      </c>
      <c r="F176" s="686">
        <f t="shared" si="273"/>
        <v>2.5</v>
      </c>
      <c r="G176" s="686">
        <f t="shared" si="273"/>
        <v>2.5</v>
      </c>
      <c r="H176" s="686">
        <f t="shared" si="273"/>
        <v>2.5</v>
      </c>
      <c r="I176" s="686">
        <f t="shared" si="273"/>
        <v>2.5</v>
      </c>
      <c r="J176" s="686">
        <f t="shared" si="273"/>
        <v>2.5</v>
      </c>
      <c r="K176" s="686">
        <f t="shared" si="273"/>
        <v>2.5</v>
      </c>
      <c r="L176" s="686">
        <f t="shared" si="273"/>
        <v>2.5</v>
      </c>
      <c r="M176" s="686">
        <f t="shared" si="273"/>
        <v>2.5</v>
      </c>
      <c r="N176" s="686">
        <f t="shared" si="273"/>
        <v>2.5</v>
      </c>
      <c r="O176" s="686">
        <f t="shared" si="273"/>
        <v>2.5</v>
      </c>
      <c r="P176" s="686">
        <f t="shared" si="273"/>
        <v>2.5</v>
      </c>
      <c r="Q176" s="686">
        <f t="shared" si="273"/>
        <v>2.5</v>
      </c>
      <c r="R176" s="686">
        <f t="shared" si="273"/>
        <v>2.5</v>
      </c>
      <c r="S176" s="686">
        <f t="shared" si="273"/>
        <v>2.5</v>
      </c>
      <c r="T176" s="686">
        <f t="shared" si="273"/>
        <v>2.5</v>
      </c>
      <c r="U176" s="686">
        <f t="shared" si="273"/>
        <v>2.5</v>
      </c>
      <c r="V176" s="686">
        <f t="shared" si="273"/>
        <v>2.5</v>
      </c>
      <c r="W176" s="686">
        <f t="shared" si="273"/>
        <v>2.5</v>
      </c>
      <c r="X176" s="686">
        <f t="shared" si="273"/>
        <v>2.5</v>
      </c>
      <c r="Y176" s="686">
        <f t="shared" si="273"/>
        <v>2.5</v>
      </c>
      <c r="Z176" s="686">
        <f t="shared" si="273"/>
        <v>2.5</v>
      </c>
      <c r="AA176" s="686">
        <f t="shared" si="273"/>
        <v>2.5</v>
      </c>
      <c r="AB176" s="686">
        <f t="shared" si="273"/>
        <v>2.5</v>
      </c>
      <c r="AC176" s="686">
        <f t="shared" si="273"/>
        <v>2.5</v>
      </c>
      <c r="AD176" s="686">
        <f t="shared" si="273"/>
        <v>2.5</v>
      </c>
      <c r="AE176" s="686">
        <f t="shared" si="273"/>
        <v>2.5</v>
      </c>
      <c r="AF176" s="686">
        <f t="shared" si="273"/>
        <v>2.5</v>
      </c>
      <c r="AG176" s="686">
        <f t="shared" si="273"/>
        <v>2.5</v>
      </c>
      <c r="AH176" s="686">
        <f t="shared" si="273"/>
        <v>2.5</v>
      </c>
      <c r="AI176" s="686">
        <f t="shared" si="273"/>
        <v>2.5</v>
      </c>
      <c r="AJ176" s="686">
        <f t="shared" si="273"/>
        <v>2.5</v>
      </c>
    </row>
    <row r="177" spans="1:37" s="674" customFormat="1" ht="13.15" customHeight="1" x14ac:dyDescent="0.2">
      <c r="A177" s="680" t="s">
        <v>255</v>
      </c>
      <c r="B177" s="681"/>
      <c r="C177" s="690">
        <f t="shared" ref="C177:N177" si="274">C175*C176</f>
        <v>0</v>
      </c>
      <c r="D177" s="690">
        <f t="shared" si="274"/>
        <v>0</v>
      </c>
      <c r="E177" s="690">
        <f t="shared" si="274"/>
        <v>0</v>
      </c>
      <c r="F177" s="690">
        <f t="shared" si="274"/>
        <v>0</v>
      </c>
      <c r="G177" s="690">
        <f t="shared" si="274"/>
        <v>0</v>
      </c>
      <c r="H177" s="690">
        <f t="shared" si="274"/>
        <v>0</v>
      </c>
      <c r="I177" s="690">
        <f t="shared" si="274"/>
        <v>0</v>
      </c>
      <c r="J177" s="690">
        <f t="shared" si="274"/>
        <v>0</v>
      </c>
      <c r="K177" s="690">
        <f t="shared" si="274"/>
        <v>0</v>
      </c>
      <c r="L177" s="690">
        <f t="shared" si="274"/>
        <v>0</v>
      </c>
      <c r="M177" s="690">
        <f t="shared" si="274"/>
        <v>0</v>
      </c>
      <c r="N177" s="690">
        <f t="shared" si="274"/>
        <v>0</v>
      </c>
      <c r="O177" s="691">
        <f>SUM(C177:N177)</f>
        <v>0</v>
      </c>
      <c r="P177" s="690">
        <f t="shared" ref="P177:AA177" si="275">P175*P176</f>
        <v>0</v>
      </c>
      <c r="Q177" s="690">
        <f t="shared" si="275"/>
        <v>0</v>
      </c>
      <c r="R177" s="690">
        <f t="shared" si="275"/>
        <v>0</v>
      </c>
      <c r="S177" s="690">
        <f t="shared" si="275"/>
        <v>0</v>
      </c>
      <c r="T177" s="690">
        <f t="shared" si="275"/>
        <v>0</v>
      </c>
      <c r="U177" s="690">
        <f t="shared" si="275"/>
        <v>0</v>
      </c>
      <c r="V177" s="690">
        <f t="shared" si="275"/>
        <v>0</v>
      </c>
      <c r="W177" s="690">
        <f t="shared" si="275"/>
        <v>0</v>
      </c>
      <c r="X177" s="690">
        <f t="shared" si="275"/>
        <v>0</v>
      </c>
      <c r="Y177" s="690">
        <f t="shared" si="275"/>
        <v>0</v>
      </c>
      <c r="Z177" s="690">
        <f t="shared" si="275"/>
        <v>0</v>
      </c>
      <c r="AA177" s="690">
        <f t="shared" si="275"/>
        <v>0</v>
      </c>
      <c r="AB177" s="691">
        <f>SUM(P177:AA177)</f>
        <v>0</v>
      </c>
      <c r="AC177" s="690">
        <f t="shared" ref="AC177:AJ177" si="276">AC175*AC176</f>
        <v>0</v>
      </c>
      <c r="AD177" s="690">
        <f t="shared" si="276"/>
        <v>0</v>
      </c>
      <c r="AE177" s="690">
        <f t="shared" si="276"/>
        <v>0</v>
      </c>
      <c r="AF177" s="690">
        <f t="shared" si="276"/>
        <v>0</v>
      </c>
      <c r="AG177" s="690">
        <f t="shared" si="276"/>
        <v>0</v>
      </c>
      <c r="AH177" s="690">
        <f t="shared" si="276"/>
        <v>0</v>
      </c>
      <c r="AI177" s="690">
        <f t="shared" si="276"/>
        <v>0</v>
      </c>
      <c r="AJ177" s="690">
        <f t="shared" si="276"/>
        <v>0</v>
      </c>
    </row>
    <row r="178" spans="1:37" s="674" customFormat="1" ht="13.15" customHeight="1" x14ac:dyDescent="0.2">
      <c r="B178" s="681"/>
      <c r="C178" s="682"/>
      <c r="D178" s="682"/>
      <c r="E178" s="682"/>
      <c r="F178" s="682"/>
      <c r="G178" s="682"/>
      <c r="H178" s="682"/>
      <c r="I178" s="682"/>
      <c r="J178" s="682"/>
      <c r="K178" s="682"/>
      <c r="L178" s="682"/>
      <c r="M178" s="682"/>
      <c r="N178" s="682"/>
      <c r="O178" s="683"/>
      <c r="P178" s="682"/>
      <c r="Q178" s="682"/>
      <c r="R178" s="682"/>
      <c r="S178" s="682"/>
      <c r="T178" s="682"/>
      <c r="U178" s="682"/>
      <c r="V178" s="682"/>
      <c r="W178" s="682"/>
      <c r="X178" s="682"/>
      <c r="Y178" s="682"/>
      <c r="Z178" s="682"/>
      <c r="AA178" s="682"/>
      <c r="AB178" s="683"/>
      <c r="AC178" s="683"/>
      <c r="AD178" s="683"/>
      <c r="AE178" s="683"/>
    </row>
    <row r="179" spans="1:37" s="674" customFormat="1" ht="13.15" customHeight="1" x14ac:dyDescent="0.2">
      <c r="A179" s="680" t="s">
        <v>256</v>
      </c>
      <c r="B179" s="681"/>
      <c r="C179" s="689">
        <v>0</v>
      </c>
      <c r="D179" s="689">
        <v>0</v>
      </c>
      <c r="E179" s="689">
        <v>0</v>
      </c>
      <c r="F179" s="689">
        <v>0</v>
      </c>
      <c r="G179" s="689">
        <v>0</v>
      </c>
      <c r="H179" s="689">
        <v>0</v>
      </c>
      <c r="I179" s="689">
        <v>0</v>
      </c>
      <c r="J179" s="689">
        <v>0</v>
      </c>
      <c r="K179" s="689">
        <v>0</v>
      </c>
      <c r="L179" s="689">
        <v>0</v>
      </c>
      <c r="M179" s="689">
        <v>0</v>
      </c>
      <c r="N179" s="689">
        <v>0</v>
      </c>
      <c r="O179" s="690">
        <f>N179</f>
        <v>0</v>
      </c>
      <c r="P179" s="689">
        <f>N179</f>
        <v>0</v>
      </c>
      <c r="Q179" s="689">
        <f t="shared" ref="Q179:AB179" si="277">P179</f>
        <v>0</v>
      </c>
      <c r="R179" s="689">
        <f t="shared" si="277"/>
        <v>0</v>
      </c>
      <c r="S179" s="689">
        <f t="shared" si="277"/>
        <v>0</v>
      </c>
      <c r="T179" s="689">
        <f t="shared" si="277"/>
        <v>0</v>
      </c>
      <c r="U179" s="689">
        <f t="shared" si="277"/>
        <v>0</v>
      </c>
      <c r="V179" s="689">
        <f t="shared" si="277"/>
        <v>0</v>
      </c>
      <c r="W179" s="689">
        <f t="shared" si="277"/>
        <v>0</v>
      </c>
      <c r="X179" s="689">
        <f t="shared" si="277"/>
        <v>0</v>
      </c>
      <c r="Y179" s="689">
        <f t="shared" si="277"/>
        <v>0</v>
      </c>
      <c r="Z179" s="689">
        <f t="shared" si="277"/>
        <v>0</v>
      </c>
      <c r="AA179" s="689">
        <f t="shared" si="277"/>
        <v>0</v>
      </c>
      <c r="AB179" s="690">
        <f t="shared" si="277"/>
        <v>0</v>
      </c>
      <c r="AC179" s="689">
        <f>AA179</f>
        <v>0</v>
      </c>
      <c r="AD179" s="689">
        <f t="shared" ref="AD179:AJ179" si="278">AC179</f>
        <v>0</v>
      </c>
      <c r="AE179" s="689">
        <f t="shared" si="278"/>
        <v>0</v>
      </c>
      <c r="AF179" s="689">
        <f t="shared" si="278"/>
        <v>0</v>
      </c>
      <c r="AG179" s="689">
        <f t="shared" si="278"/>
        <v>0</v>
      </c>
      <c r="AH179" s="689">
        <f t="shared" si="278"/>
        <v>0</v>
      </c>
      <c r="AI179" s="689">
        <f t="shared" si="278"/>
        <v>0</v>
      </c>
      <c r="AJ179" s="689">
        <f t="shared" si="278"/>
        <v>0</v>
      </c>
    </row>
    <row r="180" spans="1:37" s="674" customFormat="1" ht="13.15" customHeight="1" x14ac:dyDescent="0.2">
      <c r="A180" s="680" t="s">
        <v>252</v>
      </c>
      <c r="B180" s="681"/>
      <c r="C180" s="689">
        <f>300/12</f>
        <v>25</v>
      </c>
      <c r="D180" s="689">
        <f t="shared" ref="D180:N180" si="279">300/12</f>
        <v>25</v>
      </c>
      <c r="E180" s="689">
        <f t="shared" si="279"/>
        <v>25</v>
      </c>
      <c r="F180" s="689">
        <f t="shared" si="279"/>
        <v>25</v>
      </c>
      <c r="G180" s="689">
        <f t="shared" si="279"/>
        <v>25</v>
      </c>
      <c r="H180" s="689">
        <f t="shared" si="279"/>
        <v>25</v>
      </c>
      <c r="I180" s="689">
        <f t="shared" si="279"/>
        <v>25</v>
      </c>
      <c r="J180" s="689">
        <f t="shared" si="279"/>
        <v>25</v>
      </c>
      <c r="K180" s="689">
        <f t="shared" si="279"/>
        <v>25</v>
      </c>
      <c r="L180" s="689">
        <f t="shared" si="279"/>
        <v>25</v>
      </c>
      <c r="M180" s="689">
        <f t="shared" si="279"/>
        <v>25</v>
      </c>
      <c r="N180" s="689">
        <f t="shared" si="279"/>
        <v>25</v>
      </c>
      <c r="O180" s="683">
        <f>SUM(C180:N180)</f>
        <v>300</v>
      </c>
      <c r="P180" s="689">
        <f>300/12</f>
        <v>25</v>
      </c>
      <c r="Q180" s="689">
        <f t="shared" ref="Q180:AA180" si="280">300/12</f>
        <v>25</v>
      </c>
      <c r="R180" s="689">
        <f t="shared" si="280"/>
        <v>25</v>
      </c>
      <c r="S180" s="689">
        <f t="shared" si="280"/>
        <v>25</v>
      </c>
      <c r="T180" s="689">
        <f t="shared" si="280"/>
        <v>25</v>
      </c>
      <c r="U180" s="689">
        <f t="shared" si="280"/>
        <v>25</v>
      </c>
      <c r="V180" s="689">
        <f t="shared" si="280"/>
        <v>25</v>
      </c>
      <c r="W180" s="689">
        <f t="shared" si="280"/>
        <v>25</v>
      </c>
      <c r="X180" s="689">
        <f t="shared" si="280"/>
        <v>25</v>
      </c>
      <c r="Y180" s="689">
        <f t="shared" si="280"/>
        <v>25</v>
      </c>
      <c r="Z180" s="689">
        <f t="shared" si="280"/>
        <v>25</v>
      </c>
      <c r="AA180" s="689">
        <f t="shared" si="280"/>
        <v>25</v>
      </c>
      <c r="AB180" s="683">
        <f>SUM(P180:AA180)</f>
        <v>300</v>
      </c>
      <c r="AC180" s="689">
        <v>300</v>
      </c>
      <c r="AD180" s="689">
        <v>300</v>
      </c>
      <c r="AE180" s="689">
        <v>300</v>
      </c>
      <c r="AF180" s="689">
        <v>300</v>
      </c>
      <c r="AG180" s="689">
        <v>300</v>
      </c>
      <c r="AH180" s="689">
        <v>300</v>
      </c>
      <c r="AI180" s="689">
        <v>300</v>
      </c>
      <c r="AJ180" s="689">
        <v>300</v>
      </c>
    </row>
    <row r="181" spans="1:37" s="674" customFormat="1" ht="13.15" customHeight="1" x14ac:dyDescent="0.2">
      <c r="A181" s="680" t="s">
        <v>254</v>
      </c>
      <c r="B181" s="681"/>
      <c r="C181" s="690">
        <f t="shared" ref="C181:N181" si="281">C179*C180</f>
        <v>0</v>
      </c>
      <c r="D181" s="690">
        <f t="shared" si="281"/>
        <v>0</v>
      </c>
      <c r="E181" s="690">
        <f t="shared" si="281"/>
        <v>0</v>
      </c>
      <c r="F181" s="690">
        <f t="shared" si="281"/>
        <v>0</v>
      </c>
      <c r="G181" s="690">
        <f t="shared" si="281"/>
        <v>0</v>
      </c>
      <c r="H181" s="690">
        <f t="shared" si="281"/>
        <v>0</v>
      </c>
      <c r="I181" s="690">
        <f t="shared" si="281"/>
        <v>0</v>
      </c>
      <c r="J181" s="690">
        <f t="shared" si="281"/>
        <v>0</v>
      </c>
      <c r="K181" s="690">
        <f t="shared" si="281"/>
        <v>0</v>
      </c>
      <c r="L181" s="690">
        <f t="shared" si="281"/>
        <v>0</v>
      </c>
      <c r="M181" s="690">
        <f t="shared" si="281"/>
        <v>0</v>
      </c>
      <c r="N181" s="690">
        <f t="shared" si="281"/>
        <v>0</v>
      </c>
      <c r="O181" s="683">
        <f>SUM(C181:N181)</f>
        <v>0</v>
      </c>
      <c r="P181" s="690">
        <f t="shared" ref="P181:AA181" si="282">P179*P180</f>
        <v>0</v>
      </c>
      <c r="Q181" s="690">
        <f t="shared" si="282"/>
        <v>0</v>
      </c>
      <c r="R181" s="690">
        <f t="shared" si="282"/>
        <v>0</v>
      </c>
      <c r="S181" s="690">
        <f t="shared" si="282"/>
        <v>0</v>
      </c>
      <c r="T181" s="690">
        <f t="shared" si="282"/>
        <v>0</v>
      </c>
      <c r="U181" s="690">
        <f t="shared" si="282"/>
        <v>0</v>
      </c>
      <c r="V181" s="690">
        <f t="shared" si="282"/>
        <v>0</v>
      </c>
      <c r="W181" s="690">
        <f t="shared" si="282"/>
        <v>0</v>
      </c>
      <c r="X181" s="690">
        <f t="shared" si="282"/>
        <v>0</v>
      </c>
      <c r="Y181" s="690">
        <f t="shared" si="282"/>
        <v>0</v>
      </c>
      <c r="Z181" s="690">
        <f t="shared" si="282"/>
        <v>0</v>
      </c>
      <c r="AA181" s="690">
        <f t="shared" si="282"/>
        <v>0</v>
      </c>
      <c r="AB181" s="683">
        <f>SUM(P181:AA181)</f>
        <v>0</v>
      </c>
      <c r="AC181" s="690">
        <f t="shared" ref="AC181:AJ181" si="283">AC179*AC180</f>
        <v>0</v>
      </c>
      <c r="AD181" s="690">
        <f t="shared" si="283"/>
        <v>0</v>
      </c>
      <c r="AE181" s="690">
        <f t="shared" si="283"/>
        <v>0</v>
      </c>
      <c r="AF181" s="690">
        <f t="shared" si="283"/>
        <v>0</v>
      </c>
      <c r="AG181" s="690">
        <f t="shared" si="283"/>
        <v>0</v>
      </c>
      <c r="AH181" s="690">
        <f t="shared" si="283"/>
        <v>0</v>
      </c>
      <c r="AI181" s="690">
        <f t="shared" si="283"/>
        <v>0</v>
      </c>
      <c r="AJ181" s="690">
        <f t="shared" si="283"/>
        <v>0</v>
      </c>
    </row>
    <row r="182" spans="1:37" s="674" customFormat="1" ht="13.15" customHeight="1" x14ac:dyDescent="0.2">
      <c r="A182" s="680" t="s">
        <v>249</v>
      </c>
      <c r="B182" s="681"/>
      <c r="C182" s="686">
        <v>3</v>
      </c>
      <c r="D182" s="686">
        <f t="shared" ref="D182:O182" si="284">C182</f>
        <v>3</v>
      </c>
      <c r="E182" s="686">
        <f t="shared" si="284"/>
        <v>3</v>
      </c>
      <c r="F182" s="686">
        <f t="shared" si="284"/>
        <v>3</v>
      </c>
      <c r="G182" s="686">
        <f t="shared" si="284"/>
        <v>3</v>
      </c>
      <c r="H182" s="686">
        <f t="shared" si="284"/>
        <v>3</v>
      </c>
      <c r="I182" s="686">
        <f t="shared" si="284"/>
        <v>3</v>
      </c>
      <c r="J182" s="686">
        <f t="shared" si="284"/>
        <v>3</v>
      </c>
      <c r="K182" s="686">
        <f t="shared" si="284"/>
        <v>3</v>
      </c>
      <c r="L182" s="686">
        <f t="shared" si="284"/>
        <v>3</v>
      </c>
      <c r="M182" s="686">
        <f t="shared" si="284"/>
        <v>3</v>
      </c>
      <c r="N182" s="686">
        <f t="shared" si="284"/>
        <v>3</v>
      </c>
      <c r="O182" s="686">
        <f t="shared" si="284"/>
        <v>3</v>
      </c>
      <c r="P182" s="686">
        <f>N182</f>
        <v>3</v>
      </c>
      <c r="Q182" s="686">
        <f t="shared" ref="Q182:X182" si="285">P182</f>
        <v>3</v>
      </c>
      <c r="R182" s="686">
        <f t="shared" si="285"/>
        <v>3</v>
      </c>
      <c r="S182" s="686">
        <f t="shared" si="285"/>
        <v>3</v>
      </c>
      <c r="T182" s="686">
        <f t="shared" si="285"/>
        <v>3</v>
      </c>
      <c r="U182" s="686">
        <f t="shared" si="285"/>
        <v>3</v>
      </c>
      <c r="V182" s="686">
        <f t="shared" si="285"/>
        <v>3</v>
      </c>
      <c r="W182" s="686">
        <f t="shared" si="285"/>
        <v>3</v>
      </c>
      <c r="X182" s="686">
        <f t="shared" si="285"/>
        <v>3</v>
      </c>
      <c r="Y182" s="686">
        <f>Y170</f>
        <v>2.5</v>
      </c>
      <c r="Z182" s="686">
        <f t="shared" ref="Z182:AJ182" si="286">Z170</f>
        <v>2.5</v>
      </c>
      <c r="AA182" s="686">
        <f t="shared" si="286"/>
        <v>2.5</v>
      </c>
      <c r="AB182" s="686">
        <f t="shared" si="286"/>
        <v>2.5</v>
      </c>
      <c r="AC182" s="686">
        <f t="shared" si="286"/>
        <v>2.5</v>
      </c>
      <c r="AD182" s="686">
        <f t="shared" si="286"/>
        <v>2.5</v>
      </c>
      <c r="AE182" s="686">
        <f t="shared" si="286"/>
        <v>2.5</v>
      </c>
      <c r="AF182" s="686">
        <f t="shared" si="286"/>
        <v>2.5</v>
      </c>
      <c r="AG182" s="686">
        <f t="shared" si="286"/>
        <v>2.5</v>
      </c>
      <c r="AH182" s="686">
        <f t="shared" si="286"/>
        <v>2.5</v>
      </c>
      <c r="AI182" s="686">
        <f t="shared" si="286"/>
        <v>2.5</v>
      </c>
      <c r="AJ182" s="686">
        <f t="shared" si="286"/>
        <v>2.5</v>
      </c>
    </row>
    <row r="183" spans="1:37" s="674" customFormat="1" ht="13.15" customHeight="1" x14ac:dyDescent="0.2">
      <c r="A183" s="680" t="s">
        <v>255</v>
      </c>
      <c r="B183" s="681"/>
      <c r="C183" s="690">
        <f t="shared" ref="C183:N183" si="287">C181*C182</f>
        <v>0</v>
      </c>
      <c r="D183" s="690">
        <f t="shared" si="287"/>
        <v>0</v>
      </c>
      <c r="E183" s="690">
        <f t="shared" si="287"/>
        <v>0</v>
      </c>
      <c r="F183" s="690">
        <f t="shared" si="287"/>
        <v>0</v>
      </c>
      <c r="G183" s="690">
        <f t="shared" si="287"/>
        <v>0</v>
      </c>
      <c r="H183" s="690">
        <f t="shared" si="287"/>
        <v>0</v>
      </c>
      <c r="I183" s="690">
        <f t="shared" si="287"/>
        <v>0</v>
      </c>
      <c r="J183" s="690">
        <f t="shared" si="287"/>
        <v>0</v>
      </c>
      <c r="K183" s="690">
        <f t="shared" si="287"/>
        <v>0</v>
      </c>
      <c r="L183" s="690">
        <f t="shared" si="287"/>
        <v>0</v>
      </c>
      <c r="M183" s="690">
        <f t="shared" si="287"/>
        <v>0</v>
      </c>
      <c r="N183" s="690">
        <f t="shared" si="287"/>
        <v>0</v>
      </c>
      <c r="O183" s="691">
        <f>SUM(C183:N183)</f>
        <v>0</v>
      </c>
      <c r="P183" s="690">
        <f t="shared" ref="P183:AA183" si="288">P181*P182</f>
        <v>0</v>
      </c>
      <c r="Q183" s="690">
        <f t="shared" si="288"/>
        <v>0</v>
      </c>
      <c r="R183" s="690">
        <f t="shared" si="288"/>
        <v>0</v>
      </c>
      <c r="S183" s="690">
        <f t="shared" si="288"/>
        <v>0</v>
      </c>
      <c r="T183" s="690">
        <f t="shared" si="288"/>
        <v>0</v>
      </c>
      <c r="U183" s="690">
        <f t="shared" si="288"/>
        <v>0</v>
      </c>
      <c r="V183" s="690">
        <f t="shared" si="288"/>
        <v>0</v>
      </c>
      <c r="W183" s="690">
        <f t="shared" si="288"/>
        <v>0</v>
      </c>
      <c r="X183" s="690">
        <f t="shared" si="288"/>
        <v>0</v>
      </c>
      <c r="Y183" s="690">
        <f t="shared" si="288"/>
        <v>0</v>
      </c>
      <c r="Z183" s="690">
        <f t="shared" si="288"/>
        <v>0</v>
      </c>
      <c r="AA183" s="690">
        <f t="shared" si="288"/>
        <v>0</v>
      </c>
      <c r="AB183" s="691">
        <f>SUM(P183:AA183)</f>
        <v>0</v>
      </c>
      <c r="AC183" s="690">
        <f t="shared" ref="AC183:AJ183" si="289">AC181*AC182</f>
        <v>0</v>
      </c>
      <c r="AD183" s="690">
        <f t="shared" si="289"/>
        <v>0</v>
      </c>
      <c r="AE183" s="690">
        <f t="shared" si="289"/>
        <v>0</v>
      </c>
      <c r="AF183" s="690">
        <f t="shared" si="289"/>
        <v>0</v>
      </c>
      <c r="AG183" s="690">
        <f t="shared" si="289"/>
        <v>0</v>
      </c>
      <c r="AH183" s="690">
        <f t="shared" si="289"/>
        <v>0</v>
      </c>
      <c r="AI183" s="690">
        <f t="shared" si="289"/>
        <v>0</v>
      </c>
      <c r="AJ183" s="690">
        <f t="shared" si="289"/>
        <v>0</v>
      </c>
    </row>
    <row r="184" spans="1:37" s="674" customFormat="1" ht="13.15" customHeight="1" x14ac:dyDescent="0.2">
      <c r="A184" s="680"/>
      <c r="B184" s="681"/>
      <c r="C184" s="682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3"/>
      <c r="P184" s="682"/>
      <c r="Q184" s="682"/>
      <c r="R184" s="682"/>
      <c r="S184" s="682"/>
      <c r="T184" s="682"/>
      <c r="U184" s="682"/>
      <c r="V184" s="682"/>
      <c r="W184" s="682"/>
      <c r="X184" s="682"/>
      <c r="Y184" s="682"/>
      <c r="Z184" s="682"/>
      <c r="AA184" s="682"/>
      <c r="AB184" s="683"/>
      <c r="AC184" s="683"/>
      <c r="AD184" s="683"/>
      <c r="AE184" s="683"/>
    </row>
    <row r="185" spans="1:37" s="684" customFormat="1" ht="13.15" customHeight="1" x14ac:dyDescent="0.2">
      <c r="A185" s="676" t="s">
        <v>257</v>
      </c>
      <c r="B185" s="677"/>
      <c r="C185" s="694">
        <f>C171+C177+C183</f>
        <v>0</v>
      </c>
      <c r="D185" s="694">
        <f t="shared" ref="D185:N185" si="290">D171+D177+D183</f>
        <v>0</v>
      </c>
      <c r="E185" s="694">
        <f t="shared" si="290"/>
        <v>0</v>
      </c>
      <c r="F185" s="694">
        <f t="shared" si="290"/>
        <v>0</v>
      </c>
      <c r="G185" s="694">
        <f t="shared" si="290"/>
        <v>0</v>
      </c>
      <c r="H185" s="694">
        <f t="shared" si="290"/>
        <v>0</v>
      </c>
      <c r="I185" s="694">
        <f t="shared" si="290"/>
        <v>0</v>
      </c>
      <c r="J185" s="694">
        <f t="shared" si="290"/>
        <v>0</v>
      </c>
      <c r="K185" s="694">
        <f t="shared" si="290"/>
        <v>0</v>
      </c>
      <c r="L185" s="694">
        <f t="shared" si="290"/>
        <v>0</v>
      </c>
      <c r="M185" s="694">
        <f t="shared" si="290"/>
        <v>0</v>
      </c>
      <c r="N185" s="694">
        <f t="shared" si="290"/>
        <v>0</v>
      </c>
      <c r="O185" s="679">
        <f>SUM(C185:N185)</f>
        <v>0</v>
      </c>
      <c r="P185" s="694">
        <f t="shared" ref="P185:AA185" si="291">P171+P177+P183</f>
        <v>0</v>
      </c>
      <c r="Q185" s="694">
        <f t="shared" si="291"/>
        <v>0</v>
      </c>
      <c r="R185" s="694">
        <f t="shared" si="291"/>
        <v>0</v>
      </c>
      <c r="S185" s="694">
        <f t="shared" si="291"/>
        <v>0</v>
      </c>
      <c r="T185" s="694">
        <f t="shared" si="291"/>
        <v>0</v>
      </c>
      <c r="U185" s="694">
        <f t="shared" si="291"/>
        <v>0</v>
      </c>
      <c r="V185" s="694">
        <f t="shared" si="291"/>
        <v>0</v>
      </c>
      <c r="W185" s="694">
        <f t="shared" si="291"/>
        <v>0</v>
      </c>
      <c r="X185" s="694">
        <f t="shared" si="291"/>
        <v>0</v>
      </c>
      <c r="Y185" s="694">
        <f t="shared" si="291"/>
        <v>0</v>
      </c>
      <c r="Z185" s="694">
        <f t="shared" si="291"/>
        <v>0</v>
      </c>
      <c r="AA185" s="694">
        <f t="shared" si="291"/>
        <v>0</v>
      </c>
      <c r="AB185" s="694">
        <f>SUM(P185:AA185)</f>
        <v>0</v>
      </c>
      <c r="AC185" s="694">
        <f t="shared" ref="AC185:AJ185" si="292">AC171+AC177+AC183</f>
        <v>992.25000000000034</v>
      </c>
      <c r="AD185" s="694">
        <f t="shared" si="292"/>
        <v>3095.8200000000011</v>
      </c>
      <c r="AE185" s="694">
        <f t="shared" si="292"/>
        <v>6377.3892000000023</v>
      </c>
      <c r="AF185" s="694">
        <f t="shared" si="292"/>
        <v>13009.873968000004</v>
      </c>
      <c r="AG185" s="694">
        <f t="shared" si="292"/>
        <v>19709.959061520007</v>
      </c>
      <c r="AH185" s="694">
        <f t="shared" si="292"/>
        <v>23724.950722200007</v>
      </c>
      <c r="AI185" s="694">
        <f t="shared" si="292"/>
        <v>27374.943141</v>
      </c>
      <c r="AJ185" s="694">
        <f t="shared" si="292"/>
        <v>31024.9355598</v>
      </c>
    </row>
    <row r="186" spans="1:37" s="674" customFormat="1" ht="13.15" customHeight="1" x14ac:dyDescent="0.2">
      <c r="A186" s="680"/>
      <c r="B186" s="681"/>
      <c r="C186" s="682"/>
      <c r="D186" s="682"/>
      <c r="E186" s="682"/>
      <c r="F186" s="682"/>
      <c r="G186" s="682"/>
      <c r="H186" s="682"/>
      <c r="I186" s="682"/>
      <c r="J186" s="682"/>
      <c r="K186" s="682"/>
      <c r="L186" s="682"/>
      <c r="M186" s="682"/>
      <c r="N186" s="682"/>
      <c r="O186" s="683"/>
      <c r="P186" s="682"/>
      <c r="Q186" s="682"/>
      <c r="R186" s="682"/>
      <c r="S186" s="682"/>
      <c r="T186" s="682"/>
      <c r="U186" s="682"/>
      <c r="V186" s="682"/>
      <c r="W186" s="682"/>
      <c r="X186" s="682"/>
      <c r="Y186" s="682"/>
      <c r="Z186" s="682"/>
      <c r="AA186" s="682"/>
      <c r="AB186" s="683"/>
      <c r="AC186" s="683"/>
      <c r="AD186" s="683"/>
      <c r="AE186" s="683"/>
    </row>
    <row r="187" spans="1:37" s="674" customFormat="1" ht="13.15" customHeight="1" x14ac:dyDescent="0.2">
      <c r="A187" s="680" t="s">
        <v>258</v>
      </c>
      <c r="B187" s="681"/>
      <c r="C187" s="767">
        <f>C$25</f>
        <v>300</v>
      </c>
      <c r="D187" s="767">
        <f t="shared" ref="D187:AJ187" si="293">D$25</f>
        <v>300</v>
      </c>
      <c r="E187" s="767">
        <f t="shared" si="293"/>
        <v>300</v>
      </c>
      <c r="F187" s="767">
        <f t="shared" si="293"/>
        <v>300</v>
      </c>
      <c r="G187" s="767">
        <f t="shared" si="293"/>
        <v>300</v>
      </c>
      <c r="H187" s="767">
        <f t="shared" si="293"/>
        <v>300</v>
      </c>
      <c r="I187" s="767">
        <f t="shared" si="293"/>
        <v>300</v>
      </c>
      <c r="J187" s="767">
        <f t="shared" si="293"/>
        <v>300</v>
      </c>
      <c r="K187" s="767">
        <f t="shared" si="293"/>
        <v>300</v>
      </c>
      <c r="L187" s="767">
        <f t="shared" si="293"/>
        <v>300</v>
      </c>
      <c r="M187" s="767">
        <f t="shared" si="293"/>
        <v>300</v>
      </c>
      <c r="N187" s="767">
        <f t="shared" si="293"/>
        <v>300</v>
      </c>
      <c r="O187" s="767">
        <f t="shared" si="293"/>
        <v>300</v>
      </c>
      <c r="P187" s="767">
        <f t="shared" si="293"/>
        <v>300</v>
      </c>
      <c r="Q187" s="767">
        <f t="shared" si="293"/>
        <v>300</v>
      </c>
      <c r="R187" s="767">
        <f t="shared" si="293"/>
        <v>300</v>
      </c>
      <c r="S187" s="767">
        <f t="shared" si="293"/>
        <v>300</v>
      </c>
      <c r="T187" s="767">
        <f t="shared" si="293"/>
        <v>300</v>
      </c>
      <c r="U187" s="767">
        <f t="shared" si="293"/>
        <v>300</v>
      </c>
      <c r="V187" s="767">
        <f t="shared" si="293"/>
        <v>300</v>
      </c>
      <c r="W187" s="767">
        <f t="shared" si="293"/>
        <v>300</v>
      </c>
      <c r="X187" s="767">
        <f t="shared" si="293"/>
        <v>300</v>
      </c>
      <c r="Y187" s="767">
        <f t="shared" si="293"/>
        <v>300</v>
      </c>
      <c r="Z187" s="767">
        <f t="shared" si="293"/>
        <v>300</v>
      </c>
      <c r="AA187" s="767">
        <f t="shared" si="293"/>
        <v>300</v>
      </c>
      <c r="AB187" s="767">
        <f t="shared" si="293"/>
        <v>300</v>
      </c>
      <c r="AC187" s="767">
        <f t="shared" si="293"/>
        <v>300</v>
      </c>
      <c r="AD187" s="767">
        <f t="shared" si="293"/>
        <v>300</v>
      </c>
      <c r="AE187" s="767">
        <f t="shared" si="293"/>
        <v>300</v>
      </c>
      <c r="AF187" s="767">
        <f t="shared" si="293"/>
        <v>300</v>
      </c>
      <c r="AG187" s="767">
        <f t="shared" si="293"/>
        <v>300</v>
      </c>
      <c r="AH187" s="767">
        <f t="shared" si="293"/>
        <v>300</v>
      </c>
      <c r="AI187" s="767">
        <f t="shared" si="293"/>
        <v>300</v>
      </c>
      <c r="AJ187" s="767">
        <f t="shared" si="293"/>
        <v>300</v>
      </c>
      <c r="AK187" s="693"/>
    </row>
    <row r="188" spans="1:37" s="674" customFormat="1" ht="13.15" customHeight="1" x14ac:dyDescent="0.2">
      <c r="A188" s="680"/>
      <c r="B188" s="681"/>
      <c r="C188" s="682"/>
      <c r="D188" s="682"/>
      <c r="E188" s="682"/>
      <c r="F188" s="682"/>
      <c r="G188" s="682"/>
      <c r="H188" s="682"/>
      <c r="I188" s="682"/>
      <c r="J188" s="682"/>
      <c r="K188" s="682"/>
      <c r="L188" s="682"/>
      <c r="M188" s="682"/>
      <c r="N188" s="682"/>
      <c r="O188" s="683"/>
      <c r="P188" s="682"/>
      <c r="Q188" s="682"/>
      <c r="R188" s="682"/>
      <c r="S188" s="682"/>
      <c r="T188" s="682"/>
      <c r="U188" s="682"/>
      <c r="V188" s="682"/>
      <c r="W188" s="682"/>
      <c r="X188" s="682"/>
      <c r="Y188" s="682"/>
      <c r="Z188" s="682"/>
      <c r="AA188" s="682"/>
      <c r="AB188" s="683"/>
      <c r="AC188" s="683"/>
      <c r="AD188" s="683"/>
      <c r="AE188" s="683"/>
    </row>
    <row r="189" spans="1:37" s="766" customFormat="1" ht="13.15" customHeight="1" x14ac:dyDescent="0.2">
      <c r="A189" s="763" t="s">
        <v>420</v>
      </c>
      <c r="B189" s="764"/>
      <c r="C189" s="765">
        <f>C185*C187</f>
        <v>0</v>
      </c>
      <c r="D189" s="765">
        <f t="shared" ref="D189:N189" si="294">D185*D187</f>
        <v>0</v>
      </c>
      <c r="E189" s="765">
        <f t="shared" si="294"/>
        <v>0</v>
      </c>
      <c r="F189" s="765">
        <f t="shared" si="294"/>
        <v>0</v>
      </c>
      <c r="G189" s="765">
        <f t="shared" si="294"/>
        <v>0</v>
      </c>
      <c r="H189" s="765">
        <f t="shared" si="294"/>
        <v>0</v>
      </c>
      <c r="I189" s="765">
        <f t="shared" si="294"/>
        <v>0</v>
      </c>
      <c r="J189" s="765">
        <f t="shared" si="294"/>
        <v>0</v>
      </c>
      <c r="K189" s="765">
        <f t="shared" si="294"/>
        <v>0</v>
      </c>
      <c r="L189" s="765">
        <f t="shared" si="294"/>
        <v>0</v>
      </c>
      <c r="M189" s="765">
        <f t="shared" si="294"/>
        <v>0</v>
      </c>
      <c r="N189" s="765">
        <f t="shared" si="294"/>
        <v>0</v>
      </c>
      <c r="O189" s="765">
        <f>SUM(C189:N189)</f>
        <v>0</v>
      </c>
      <c r="P189" s="765">
        <f>P185*P187</f>
        <v>0</v>
      </c>
      <c r="Q189" s="765">
        <f t="shared" ref="Q189:AA189" si="295">Q185*Q187</f>
        <v>0</v>
      </c>
      <c r="R189" s="765">
        <f t="shared" si="295"/>
        <v>0</v>
      </c>
      <c r="S189" s="765">
        <f t="shared" si="295"/>
        <v>0</v>
      </c>
      <c r="T189" s="765">
        <f t="shared" si="295"/>
        <v>0</v>
      </c>
      <c r="U189" s="765">
        <f t="shared" si="295"/>
        <v>0</v>
      </c>
      <c r="V189" s="765">
        <f t="shared" si="295"/>
        <v>0</v>
      </c>
      <c r="W189" s="765">
        <f t="shared" si="295"/>
        <v>0</v>
      </c>
      <c r="X189" s="765">
        <f t="shared" si="295"/>
        <v>0</v>
      </c>
      <c r="Y189" s="765">
        <f t="shared" si="295"/>
        <v>0</v>
      </c>
      <c r="Z189" s="765">
        <f t="shared" si="295"/>
        <v>0</v>
      </c>
      <c r="AA189" s="765">
        <f t="shared" si="295"/>
        <v>0</v>
      </c>
      <c r="AB189" s="765">
        <f>SUM(P189:AA189)</f>
        <v>0</v>
      </c>
      <c r="AC189" s="765">
        <f t="shared" ref="AC189:AJ189" si="296">AC185*AC187</f>
        <v>297675.00000000012</v>
      </c>
      <c r="AD189" s="765">
        <f t="shared" si="296"/>
        <v>928746.00000000035</v>
      </c>
      <c r="AE189" s="765">
        <f t="shared" si="296"/>
        <v>1913216.7600000007</v>
      </c>
      <c r="AF189" s="765">
        <f t="shared" si="296"/>
        <v>3902962.1904000011</v>
      </c>
      <c r="AG189" s="765">
        <f t="shared" si="296"/>
        <v>5912987.718456002</v>
      </c>
      <c r="AH189" s="765">
        <f t="shared" si="296"/>
        <v>7117485.2166600022</v>
      </c>
      <c r="AI189" s="765">
        <f t="shared" si="296"/>
        <v>8212482.9423000002</v>
      </c>
      <c r="AJ189" s="765">
        <f t="shared" si="296"/>
        <v>9307480.6679400001</v>
      </c>
    </row>
    <row r="190" spans="1:37" s="674" customFormat="1" ht="13.15" customHeight="1" x14ac:dyDescent="0.2">
      <c r="A190" s="680"/>
      <c r="B190" s="681"/>
      <c r="C190" s="682"/>
      <c r="D190" s="682"/>
      <c r="E190" s="682"/>
      <c r="F190" s="682"/>
      <c r="G190" s="682"/>
      <c r="H190" s="682"/>
      <c r="I190" s="682"/>
      <c r="J190" s="682"/>
      <c r="K190" s="682"/>
      <c r="L190" s="682"/>
      <c r="M190" s="682"/>
      <c r="N190" s="682"/>
      <c r="O190" s="683"/>
      <c r="P190" s="682"/>
      <c r="Q190" s="682"/>
      <c r="R190" s="682"/>
      <c r="S190" s="682"/>
      <c r="T190" s="682"/>
      <c r="U190" s="682"/>
      <c r="V190" s="682"/>
      <c r="W190" s="682"/>
      <c r="X190" s="682"/>
      <c r="Y190" s="682"/>
      <c r="Z190" s="682"/>
      <c r="AA190" s="682"/>
      <c r="AB190" s="683"/>
      <c r="AC190" s="683"/>
      <c r="AD190" s="683"/>
      <c r="AE190" s="683"/>
    </row>
    <row r="191" spans="1:37" s="674" customFormat="1" ht="13.15" customHeight="1" x14ac:dyDescent="0.2">
      <c r="A191" s="680"/>
      <c r="B191" s="681"/>
      <c r="C191" s="682"/>
      <c r="D191" s="682"/>
      <c r="E191" s="682"/>
      <c r="F191" s="682"/>
      <c r="G191" s="682"/>
      <c r="H191" s="682"/>
      <c r="I191" s="682"/>
      <c r="J191" s="682"/>
      <c r="K191" s="682"/>
      <c r="L191" s="682"/>
      <c r="M191" s="682"/>
      <c r="N191" s="682"/>
      <c r="O191" s="683"/>
      <c r="P191" s="682"/>
      <c r="Q191" s="682"/>
      <c r="R191" s="682"/>
      <c r="S191" s="682"/>
      <c r="T191" s="682"/>
      <c r="U191" s="682"/>
      <c r="V191" s="682"/>
      <c r="W191" s="682"/>
      <c r="X191" s="682"/>
      <c r="Y191" s="682"/>
      <c r="Z191" s="682"/>
      <c r="AA191" s="682"/>
      <c r="AB191" s="683"/>
      <c r="AC191" s="683"/>
      <c r="AD191" s="683"/>
      <c r="AE191" s="683"/>
    </row>
    <row r="192" spans="1:37" s="674" customFormat="1" ht="13.15" customHeight="1" x14ac:dyDescent="0.2">
      <c r="A192" s="676" t="s">
        <v>447</v>
      </c>
      <c r="B192" s="677"/>
      <c r="C192" s="678"/>
      <c r="D192" s="678"/>
      <c r="E192" s="678"/>
      <c r="F192" s="678"/>
      <c r="G192" s="678"/>
      <c r="H192" s="678"/>
      <c r="I192" s="678"/>
      <c r="J192" s="678"/>
      <c r="K192" s="678"/>
      <c r="L192" s="678"/>
      <c r="M192" s="678"/>
      <c r="N192" s="678"/>
      <c r="O192" s="679"/>
      <c r="P192" s="678"/>
      <c r="Q192" s="678"/>
      <c r="R192" s="678"/>
      <c r="S192" s="678"/>
      <c r="T192" s="678"/>
      <c r="U192" s="678"/>
      <c r="V192" s="678"/>
      <c r="W192" s="678"/>
      <c r="X192" s="678"/>
      <c r="Y192" s="678"/>
      <c r="Z192" s="678"/>
      <c r="AA192" s="678"/>
      <c r="AB192" s="679"/>
      <c r="AC192" s="679"/>
      <c r="AD192" s="679"/>
      <c r="AE192" s="679"/>
    </row>
    <row r="193" spans="1:36" s="674" customFormat="1" ht="13.15" customHeight="1" x14ac:dyDescent="0.2">
      <c r="A193" s="674" t="s">
        <v>250</v>
      </c>
      <c r="B193" s="681"/>
      <c r="C193" s="690">
        <f>$O193/12</f>
        <v>5000</v>
      </c>
      <c r="D193" s="690">
        <f t="shared" ref="D193:N193" si="297">$O193/12</f>
        <v>5000</v>
      </c>
      <c r="E193" s="690">
        <f t="shared" si="297"/>
        <v>5000</v>
      </c>
      <c r="F193" s="690">
        <f t="shared" si="297"/>
        <v>5000</v>
      </c>
      <c r="G193" s="690">
        <f t="shared" si="297"/>
        <v>5000</v>
      </c>
      <c r="H193" s="690">
        <f t="shared" si="297"/>
        <v>5000</v>
      </c>
      <c r="I193" s="690">
        <f t="shared" si="297"/>
        <v>5000</v>
      </c>
      <c r="J193" s="690">
        <f t="shared" si="297"/>
        <v>5000</v>
      </c>
      <c r="K193" s="690">
        <f t="shared" si="297"/>
        <v>5000</v>
      </c>
      <c r="L193" s="690">
        <f t="shared" si="297"/>
        <v>5000</v>
      </c>
      <c r="M193" s="690">
        <f t="shared" si="297"/>
        <v>5000</v>
      </c>
      <c r="N193" s="690">
        <f t="shared" si="297"/>
        <v>5000</v>
      </c>
      <c r="O193" s="689">
        <v>60000</v>
      </c>
      <c r="P193" s="690">
        <f>$AB193/12</f>
        <v>5250</v>
      </c>
      <c r="Q193" s="690">
        <f t="shared" ref="Q193:AA193" si="298">$AB193/12</f>
        <v>5250</v>
      </c>
      <c r="R193" s="690">
        <f t="shared" si="298"/>
        <v>5250</v>
      </c>
      <c r="S193" s="690">
        <f t="shared" si="298"/>
        <v>5250</v>
      </c>
      <c r="T193" s="690">
        <f t="shared" si="298"/>
        <v>5250</v>
      </c>
      <c r="U193" s="690">
        <f t="shared" si="298"/>
        <v>5250</v>
      </c>
      <c r="V193" s="690">
        <f t="shared" si="298"/>
        <v>5250</v>
      </c>
      <c r="W193" s="690">
        <f t="shared" si="298"/>
        <v>5250</v>
      </c>
      <c r="X193" s="690">
        <f t="shared" si="298"/>
        <v>5250</v>
      </c>
      <c r="Y193" s="690">
        <f t="shared" si="298"/>
        <v>5250</v>
      </c>
      <c r="Z193" s="690">
        <f t="shared" si="298"/>
        <v>5250</v>
      </c>
      <c r="AA193" s="690">
        <f t="shared" si="298"/>
        <v>5250</v>
      </c>
      <c r="AB193" s="690">
        <f>O193*(1+AB194)</f>
        <v>63000</v>
      </c>
      <c r="AC193" s="690">
        <f t="shared" ref="AC193:AJ193" si="299">AB193*(1+AC194)</f>
        <v>66150</v>
      </c>
      <c r="AD193" s="690">
        <f t="shared" si="299"/>
        <v>68796</v>
      </c>
      <c r="AE193" s="690">
        <f t="shared" si="299"/>
        <v>70859.88</v>
      </c>
      <c r="AF193" s="690">
        <f t="shared" si="299"/>
        <v>72277.077600000004</v>
      </c>
      <c r="AG193" s="690">
        <f t="shared" si="299"/>
        <v>72999.848376000009</v>
      </c>
      <c r="AH193" s="690">
        <f t="shared" si="299"/>
        <v>72999.848376000009</v>
      </c>
      <c r="AI193" s="690">
        <f t="shared" si="299"/>
        <v>72999.848376000009</v>
      </c>
      <c r="AJ193" s="690">
        <f t="shared" si="299"/>
        <v>72999.848376000009</v>
      </c>
    </row>
    <row r="194" spans="1:36" s="688" customFormat="1" ht="13.15" customHeight="1" x14ac:dyDescent="0.2">
      <c r="A194" s="680" t="s">
        <v>324</v>
      </c>
      <c r="B194" s="681"/>
      <c r="C194" s="687"/>
      <c r="D194" s="687"/>
      <c r="E194" s="687"/>
      <c r="F194" s="687"/>
      <c r="G194" s="687"/>
      <c r="H194" s="687"/>
      <c r="I194" s="687"/>
      <c r="J194" s="687"/>
      <c r="K194" s="687"/>
      <c r="L194" s="687"/>
      <c r="M194" s="687"/>
      <c r="N194" s="687"/>
      <c r="O194" s="692"/>
      <c r="P194" s="687"/>
      <c r="Q194" s="687"/>
      <c r="R194" s="687"/>
      <c r="S194" s="687"/>
      <c r="T194" s="687"/>
      <c r="U194" s="687"/>
      <c r="V194" s="687"/>
      <c r="W194" s="687"/>
      <c r="X194" s="687"/>
      <c r="Y194" s="687"/>
      <c r="Z194" s="687"/>
      <c r="AA194" s="687"/>
      <c r="AB194" s="687">
        <v>0.05</v>
      </c>
      <c r="AC194" s="687">
        <v>0.05</v>
      </c>
      <c r="AD194" s="687">
        <f>AC194-1%</f>
        <v>0.04</v>
      </c>
      <c r="AE194" s="687">
        <f>AD194-1%</f>
        <v>0.03</v>
      </c>
      <c r="AF194" s="687">
        <f>AE194-1%</f>
        <v>1.9999999999999997E-2</v>
      </c>
      <c r="AG194" s="687">
        <f>AF194-1%</f>
        <v>9.9999999999999967E-3</v>
      </c>
      <c r="AH194" s="687">
        <f>AG194-1%</f>
        <v>0</v>
      </c>
      <c r="AI194" s="688">
        <f>AH194</f>
        <v>0</v>
      </c>
      <c r="AJ194" s="688">
        <f>AI194</f>
        <v>0</v>
      </c>
    </row>
    <row r="195" spans="1:36" s="688" customFormat="1" ht="13.15" customHeight="1" x14ac:dyDescent="0.2">
      <c r="A195" s="680" t="s">
        <v>248</v>
      </c>
      <c r="B195" s="681"/>
      <c r="C195" s="687">
        <f t="shared" ref="C195:N195" si="300">C168</f>
        <v>0</v>
      </c>
      <c r="D195" s="687">
        <f t="shared" si="300"/>
        <v>0</v>
      </c>
      <c r="E195" s="687">
        <f t="shared" si="300"/>
        <v>0</v>
      </c>
      <c r="F195" s="687">
        <f t="shared" si="300"/>
        <v>0</v>
      </c>
      <c r="G195" s="687">
        <f t="shared" si="300"/>
        <v>0</v>
      </c>
      <c r="H195" s="687">
        <f t="shared" si="300"/>
        <v>0</v>
      </c>
      <c r="I195" s="687">
        <f t="shared" si="300"/>
        <v>0</v>
      </c>
      <c r="J195" s="687">
        <f t="shared" si="300"/>
        <v>0</v>
      </c>
      <c r="K195" s="687">
        <f t="shared" si="300"/>
        <v>0</v>
      </c>
      <c r="L195" s="687">
        <f t="shared" si="300"/>
        <v>0</v>
      </c>
      <c r="M195" s="687">
        <f t="shared" si="300"/>
        <v>0</v>
      </c>
      <c r="N195" s="687">
        <f t="shared" si="300"/>
        <v>0</v>
      </c>
      <c r="O195" s="692">
        <f>N195</f>
        <v>0</v>
      </c>
      <c r="P195" s="687">
        <f>P168</f>
        <v>0</v>
      </c>
      <c r="Q195" s="687">
        <f t="shared" ref="Q195:AA195" si="301">Q168</f>
        <v>0</v>
      </c>
      <c r="R195" s="687">
        <f t="shared" si="301"/>
        <v>0</v>
      </c>
      <c r="S195" s="687">
        <f t="shared" si="301"/>
        <v>0</v>
      </c>
      <c r="T195" s="687">
        <f t="shared" si="301"/>
        <v>0</v>
      </c>
      <c r="U195" s="687">
        <f t="shared" si="301"/>
        <v>0</v>
      </c>
      <c r="V195" s="687">
        <f t="shared" si="301"/>
        <v>0</v>
      </c>
      <c r="W195" s="687">
        <f t="shared" si="301"/>
        <v>0</v>
      </c>
      <c r="X195" s="687">
        <f t="shared" si="301"/>
        <v>0</v>
      </c>
      <c r="Y195" s="687">
        <f t="shared" si="301"/>
        <v>0</v>
      </c>
      <c r="Z195" s="687">
        <f t="shared" si="301"/>
        <v>0</v>
      </c>
      <c r="AA195" s="687">
        <f t="shared" si="301"/>
        <v>0</v>
      </c>
      <c r="AB195" s="692">
        <f>AA195</f>
        <v>0</v>
      </c>
      <c r="AC195" s="687">
        <f t="shared" ref="AC195:AJ195" si="302">AC168</f>
        <v>1.2000000000000004E-2</v>
      </c>
      <c r="AD195" s="687">
        <f t="shared" si="302"/>
        <v>2.4000000000000007E-2</v>
      </c>
      <c r="AE195" s="687">
        <f t="shared" si="302"/>
        <v>4.8000000000000015E-2</v>
      </c>
      <c r="AF195" s="687">
        <f t="shared" si="302"/>
        <v>9.600000000000003E-2</v>
      </c>
      <c r="AG195" s="687">
        <f t="shared" si="302"/>
        <v>0.12</v>
      </c>
      <c r="AH195" s="687">
        <f t="shared" si="302"/>
        <v>0.13999999999999999</v>
      </c>
      <c r="AI195" s="687">
        <f t="shared" si="302"/>
        <v>0.15999999999999998</v>
      </c>
      <c r="AJ195" s="687">
        <f t="shared" si="302"/>
        <v>0.17999999999999997</v>
      </c>
    </row>
    <row r="196" spans="1:36" s="674" customFormat="1" ht="13.15" customHeight="1" x14ac:dyDescent="0.2">
      <c r="A196" s="680" t="s">
        <v>251</v>
      </c>
      <c r="B196" s="681"/>
      <c r="C196" s="690">
        <f t="shared" ref="C196:N196" si="303">C193*C195</f>
        <v>0</v>
      </c>
      <c r="D196" s="690">
        <f t="shared" si="303"/>
        <v>0</v>
      </c>
      <c r="E196" s="690">
        <f t="shared" si="303"/>
        <v>0</v>
      </c>
      <c r="F196" s="690">
        <f t="shared" si="303"/>
        <v>0</v>
      </c>
      <c r="G196" s="690">
        <f t="shared" si="303"/>
        <v>0</v>
      </c>
      <c r="H196" s="690">
        <f t="shared" si="303"/>
        <v>0</v>
      </c>
      <c r="I196" s="690">
        <f t="shared" si="303"/>
        <v>0</v>
      </c>
      <c r="J196" s="690">
        <f t="shared" si="303"/>
        <v>0</v>
      </c>
      <c r="K196" s="690">
        <f t="shared" si="303"/>
        <v>0</v>
      </c>
      <c r="L196" s="690">
        <f t="shared" si="303"/>
        <v>0</v>
      </c>
      <c r="M196" s="690">
        <f t="shared" si="303"/>
        <v>0</v>
      </c>
      <c r="N196" s="690">
        <f t="shared" si="303"/>
        <v>0</v>
      </c>
      <c r="O196" s="683">
        <f>SUM(C196:N196)</f>
        <v>0</v>
      </c>
      <c r="P196" s="690">
        <f t="shared" ref="P196:AA196" si="304">P193*P195</f>
        <v>0</v>
      </c>
      <c r="Q196" s="690">
        <f t="shared" si="304"/>
        <v>0</v>
      </c>
      <c r="R196" s="690">
        <f t="shared" si="304"/>
        <v>0</v>
      </c>
      <c r="S196" s="690">
        <f t="shared" si="304"/>
        <v>0</v>
      </c>
      <c r="T196" s="690">
        <f t="shared" si="304"/>
        <v>0</v>
      </c>
      <c r="U196" s="690">
        <f t="shared" si="304"/>
        <v>0</v>
      </c>
      <c r="V196" s="690">
        <f t="shared" si="304"/>
        <v>0</v>
      </c>
      <c r="W196" s="690">
        <f t="shared" si="304"/>
        <v>0</v>
      </c>
      <c r="X196" s="690">
        <f t="shared" si="304"/>
        <v>0</v>
      </c>
      <c r="Y196" s="690">
        <f t="shared" si="304"/>
        <v>0</v>
      </c>
      <c r="Z196" s="690">
        <f t="shared" si="304"/>
        <v>0</v>
      </c>
      <c r="AA196" s="690">
        <f t="shared" si="304"/>
        <v>0</v>
      </c>
      <c r="AB196" s="690">
        <f>SUM(P196:AA196)</f>
        <v>0</v>
      </c>
      <c r="AC196" s="690">
        <f>AC193*AVERAGE(AA195,AC195)</f>
        <v>396.90000000000015</v>
      </c>
      <c r="AD196" s="690">
        <f t="shared" ref="AD196:AJ196" si="305">AD193*AVERAGE(AC195,AD195)</f>
        <v>1238.3280000000004</v>
      </c>
      <c r="AE196" s="690">
        <f t="shared" si="305"/>
        <v>2550.9556800000009</v>
      </c>
      <c r="AF196" s="690">
        <f t="shared" si="305"/>
        <v>5203.9495872000016</v>
      </c>
      <c r="AG196" s="690">
        <f t="shared" si="305"/>
        <v>7883.9836246080022</v>
      </c>
      <c r="AH196" s="690">
        <f t="shared" si="305"/>
        <v>9489.9802888800023</v>
      </c>
      <c r="AI196" s="690">
        <f t="shared" si="305"/>
        <v>10949.9772564</v>
      </c>
      <c r="AJ196" s="690">
        <f t="shared" si="305"/>
        <v>12409.97422392</v>
      </c>
    </row>
    <row r="197" spans="1:36" s="674" customFormat="1" ht="13.15" customHeight="1" x14ac:dyDescent="0.2">
      <c r="A197" s="680" t="s">
        <v>249</v>
      </c>
      <c r="B197" s="681"/>
      <c r="C197" s="686">
        <v>2</v>
      </c>
      <c r="D197" s="686">
        <f t="shared" ref="D197:O197" si="306">C197</f>
        <v>2</v>
      </c>
      <c r="E197" s="686">
        <f t="shared" si="306"/>
        <v>2</v>
      </c>
      <c r="F197" s="686">
        <f t="shared" si="306"/>
        <v>2</v>
      </c>
      <c r="G197" s="686">
        <f t="shared" si="306"/>
        <v>2</v>
      </c>
      <c r="H197" s="686">
        <f t="shared" si="306"/>
        <v>2</v>
      </c>
      <c r="I197" s="686">
        <f t="shared" si="306"/>
        <v>2</v>
      </c>
      <c r="J197" s="686">
        <f t="shared" si="306"/>
        <v>2</v>
      </c>
      <c r="K197" s="686">
        <f t="shared" si="306"/>
        <v>2</v>
      </c>
      <c r="L197" s="686">
        <f t="shared" si="306"/>
        <v>2</v>
      </c>
      <c r="M197" s="686">
        <f t="shared" si="306"/>
        <v>2</v>
      </c>
      <c r="N197" s="686">
        <f t="shared" si="306"/>
        <v>2</v>
      </c>
      <c r="O197" s="685">
        <f t="shared" si="306"/>
        <v>2</v>
      </c>
      <c r="P197" s="686">
        <f>N197</f>
        <v>2</v>
      </c>
      <c r="Q197" s="686">
        <f t="shared" ref="Q197:AB197" si="307">P197</f>
        <v>2</v>
      </c>
      <c r="R197" s="686">
        <f t="shared" si="307"/>
        <v>2</v>
      </c>
      <c r="S197" s="686">
        <f t="shared" si="307"/>
        <v>2</v>
      </c>
      <c r="T197" s="686">
        <f t="shared" si="307"/>
        <v>2</v>
      </c>
      <c r="U197" s="686">
        <f t="shared" si="307"/>
        <v>2</v>
      </c>
      <c r="V197" s="686">
        <f t="shared" si="307"/>
        <v>2</v>
      </c>
      <c r="W197" s="686">
        <f t="shared" si="307"/>
        <v>2</v>
      </c>
      <c r="X197" s="686">
        <f t="shared" si="307"/>
        <v>2</v>
      </c>
      <c r="Y197" s="686">
        <f t="shared" si="307"/>
        <v>2</v>
      </c>
      <c r="Z197" s="686">
        <f t="shared" si="307"/>
        <v>2</v>
      </c>
      <c r="AA197" s="686">
        <f t="shared" si="307"/>
        <v>2</v>
      </c>
      <c r="AB197" s="686">
        <f t="shared" si="307"/>
        <v>2</v>
      </c>
      <c r="AC197" s="686">
        <f>AA197</f>
        <v>2</v>
      </c>
      <c r="AD197" s="686">
        <f t="shared" ref="AD197:AJ197" si="308">AC197</f>
        <v>2</v>
      </c>
      <c r="AE197" s="686">
        <f t="shared" si="308"/>
        <v>2</v>
      </c>
      <c r="AF197" s="686">
        <f t="shared" si="308"/>
        <v>2</v>
      </c>
      <c r="AG197" s="686">
        <f t="shared" si="308"/>
        <v>2</v>
      </c>
      <c r="AH197" s="686">
        <f t="shared" si="308"/>
        <v>2</v>
      </c>
      <c r="AI197" s="686">
        <f t="shared" si="308"/>
        <v>2</v>
      </c>
      <c r="AJ197" s="686">
        <f t="shared" si="308"/>
        <v>2</v>
      </c>
    </row>
    <row r="198" spans="1:36" s="674" customFormat="1" ht="13.15" customHeight="1" x14ac:dyDescent="0.2">
      <c r="A198" s="680" t="s">
        <v>255</v>
      </c>
      <c r="B198" s="681"/>
      <c r="C198" s="690">
        <f t="shared" ref="C198:N198" si="309">C196*C197</f>
        <v>0</v>
      </c>
      <c r="D198" s="690">
        <f t="shared" si="309"/>
        <v>0</v>
      </c>
      <c r="E198" s="690">
        <f t="shared" si="309"/>
        <v>0</v>
      </c>
      <c r="F198" s="690">
        <f t="shared" si="309"/>
        <v>0</v>
      </c>
      <c r="G198" s="690">
        <f t="shared" si="309"/>
        <v>0</v>
      </c>
      <c r="H198" s="690">
        <f t="shared" si="309"/>
        <v>0</v>
      </c>
      <c r="I198" s="690">
        <f t="shared" si="309"/>
        <v>0</v>
      </c>
      <c r="J198" s="690">
        <f t="shared" si="309"/>
        <v>0</v>
      </c>
      <c r="K198" s="690">
        <f t="shared" si="309"/>
        <v>0</v>
      </c>
      <c r="L198" s="690">
        <f t="shared" si="309"/>
        <v>0</v>
      </c>
      <c r="M198" s="690">
        <f t="shared" si="309"/>
        <v>0</v>
      </c>
      <c r="N198" s="690">
        <f t="shared" si="309"/>
        <v>0</v>
      </c>
      <c r="O198" s="691">
        <f>SUM(C198:N198)</f>
        <v>0</v>
      </c>
      <c r="P198" s="690">
        <f t="shared" ref="P198:AA198" si="310">P196*P197</f>
        <v>0</v>
      </c>
      <c r="Q198" s="690">
        <f t="shared" si="310"/>
        <v>0</v>
      </c>
      <c r="R198" s="690">
        <f t="shared" si="310"/>
        <v>0</v>
      </c>
      <c r="S198" s="690">
        <f t="shared" si="310"/>
        <v>0</v>
      </c>
      <c r="T198" s="690">
        <f t="shared" si="310"/>
        <v>0</v>
      </c>
      <c r="U198" s="690">
        <f t="shared" si="310"/>
        <v>0</v>
      </c>
      <c r="V198" s="690">
        <f t="shared" si="310"/>
        <v>0</v>
      </c>
      <c r="W198" s="690">
        <f t="shared" si="310"/>
        <v>0</v>
      </c>
      <c r="X198" s="690">
        <f t="shared" si="310"/>
        <v>0</v>
      </c>
      <c r="Y198" s="690">
        <f t="shared" si="310"/>
        <v>0</v>
      </c>
      <c r="Z198" s="690">
        <f t="shared" si="310"/>
        <v>0</v>
      </c>
      <c r="AA198" s="690">
        <f t="shared" si="310"/>
        <v>0</v>
      </c>
      <c r="AB198" s="691">
        <f>SUM(P198:AA198)</f>
        <v>0</v>
      </c>
      <c r="AC198" s="690">
        <f t="shared" ref="AC198:AJ198" si="311">AC196*AC197</f>
        <v>793.8000000000003</v>
      </c>
      <c r="AD198" s="690">
        <f t="shared" si="311"/>
        <v>2476.6560000000009</v>
      </c>
      <c r="AE198" s="690">
        <f t="shared" si="311"/>
        <v>5101.9113600000019</v>
      </c>
      <c r="AF198" s="690">
        <f t="shared" si="311"/>
        <v>10407.899174400003</v>
      </c>
      <c r="AG198" s="690">
        <f t="shared" si="311"/>
        <v>15767.967249216004</v>
      </c>
      <c r="AH198" s="690">
        <f t="shared" si="311"/>
        <v>18979.960577760005</v>
      </c>
      <c r="AI198" s="690">
        <f t="shared" si="311"/>
        <v>21899.954512799999</v>
      </c>
      <c r="AJ198" s="690">
        <f t="shared" si="311"/>
        <v>24819.948447840001</v>
      </c>
    </row>
    <row r="200" spans="1:36" s="674" customFormat="1" ht="13.15" customHeight="1" x14ac:dyDescent="0.2">
      <c r="A200" s="680" t="s">
        <v>253</v>
      </c>
      <c r="B200" s="681"/>
      <c r="C200" s="689">
        <v>0</v>
      </c>
      <c r="D200" s="689">
        <v>0</v>
      </c>
      <c r="E200" s="689">
        <v>0</v>
      </c>
      <c r="F200" s="689">
        <v>0</v>
      </c>
      <c r="G200" s="689">
        <v>0</v>
      </c>
      <c r="H200" s="689">
        <v>0</v>
      </c>
      <c r="I200" s="689">
        <v>0</v>
      </c>
      <c r="J200" s="689">
        <v>0</v>
      </c>
      <c r="K200" s="689">
        <v>0</v>
      </c>
      <c r="L200" s="689">
        <v>0</v>
      </c>
      <c r="M200" s="689">
        <v>0</v>
      </c>
      <c r="N200" s="689">
        <v>0</v>
      </c>
      <c r="O200" s="690">
        <f>N200</f>
        <v>0</v>
      </c>
      <c r="P200" s="689">
        <f>N200</f>
        <v>0</v>
      </c>
      <c r="Q200" s="689">
        <f t="shared" ref="Q200:AB200" si="312">P200</f>
        <v>0</v>
      </c>
      <c r="R200" s="689">
        <f t="shared" si="312"/>
        <v>0</v>
      </c>
      <c r="S200" s="689">
        <f t="shared" si="312"/>
        <v>0</v>
      </c>
      <c r="T200" s="689">
        <f t="shared" si="312"/>
        <v>0</v>
      </c>
      <c r="U200" s="689">
        <f t="shared" si="312"/>
        <v>0</v>
      </c>
      <c r="V200" s="689">
        <f t="shared" si="312"/>
        <v>0</v>
      </c>
      <c r="W200" s="689">
        <f t="shared" si="312"/>
        <v>0</v>
      </c>
      <c r="X200" s="689">
        <f t="shared" si="312"/>
        <v>0</v>
      </c>
      <c r="Y200" s="689">
        <f t="shared" si="312"/>
        <v>0</v>
      </c>
      <c r="Z200" s="689">
        <f t="shared" si="312"/>
        <v>0</v>
      </c>
      <c r="AA200" s="689">
        <f t="shared" si="312"/>
        <v>0</v>
      </c>
      <c r="AB200" s="690">
        <f t="shared" si="312"/>
        <v>0</v>
      </c>
      <c r="AC200" s="689">
        <f>AA200</f>
        <v>0</v>
      </c>
      <c r="AD200" s="689">
        <f t="shared" ref="AD200:AJ200" si="313">AC200</f>
        <v>0</v>
      </c>
      <c r="AE200" s="689">
        <f t="shared" si="313"/>
        <v>0</v>
      </c>
      <c r="AF200" s="689">
        <f t="shared" si="313"/>
        <v>0</v>
      </c>
      <c r="AG200" s="689">
        <f t="shared" si="313"/>
        <v>0</v>
      </c>
      <c r="AH200" s="689">
        <f t="shared" si="313"/>
        <v>0</v>
      </c>
      <c r="AI200" s="689">
        <f t="shared" si="313"/>
        <v>0</v>
      </c>
      <c r="AJ200" s="689">
        <f t="shared" si="313"/>
        <v>0</v>
      </c>
    </row>
    <row r="201" spans="1:36" s="674" customFormat="1" ht="13.15" customHeight="1" x14ac:dyDescent="0.2">
      <c r="A201" s="680" t="s">
        <v>252</v>
      </c>
      <c r="B201" s="681"/>
      <c r="C201" s="689">
        <f>100/12</f>
        <v>8.3333333333333339</v>
      </c>
      <c r="D201" s="689">
        <f t="shared" ref="D201:N201" si="314">100/12</f>
        <v>8.3333333333333339</v>
      </c>
      <c r="E201" s="689">
        <f t="shared" si="314"/>
        <v>8.3333333333333339</v>
      </c>
      <c r="F201" s="689">
        <f t="shared" si="314"/>
        <v>8.3333333333333339</v>
      </c>
      <c r="G201" s="689">
        <f t="shared" si="314"/>
        <v>8.3333333333333339</v>
      </c>
      <c r="H201" s="689">
        <f t="shared" si="314"/>
        <v>8.3333333333333339</v>
      </c>
      <c r="I201" s="689">
        <f t="shared" si="314"/>
        <v>8.3333333333333339</v>
      </c>
      <c r="J201" s="689">
        <f t="shared" si="314"/>
        <v>8.3333333333333339</v>
      </c>
      <c r="K201" s="689">
        <f t="shared" si="314"/>
        <v>8.3333333333333339</v>
      </c>
      <c r="L201" s="689">
        <f t="shared" si="314"/>
        <v>8.3333333333333339</v>
      </c>
      <c r="M201" s="689">
        <f t="shared" si="314"/>
        <v>8.3333333333333339</v>
      </c>
      <c r="N201" s="689">
        <f t="shared" si="314"/>
        <v>8.3333333333333339</v>
      </c>
      <c r="O201" s="683">
        <f>SUM(C201:N201)</f>
        <v>99.999999999999986</v>
      </c>
      <c r="P201" s="689">
        <f t="shared" ref="P201:AA201" si="315">100/12</f>
        <v>8.3333333333333339</v>
      </c>
      <c r="Q201" s="689">
        <f t="shared" si="315"/>
        <v>8.3333333333333339</v>
      </c>
      <c r="R201" s="689">
        <f t="shared" si="315"/>
        <v>8.3333333333333339</v>
      </c>
      <c r="S201" s="689">
        <f t="shared" si="315"/>
        <v>8.3333333333333339</v>
      </c>
      <c r="T201" s="689">
        <f t="shared" si="315"/>
        <v>8.3333333333333339</v>
      </c>
      <c r="U201" s="689">
        <f t="shared" si="315"/>
        <v>8.3333333333333339</v>
      </c>
      <c r="V201" s="689">
        <f t="shared" si="315"/>
        <v>8.3333333333333339</v>
      </c>
      <c r="W201" s="689">
        <f t="shared" si="315"/>
        <v>8.3333333333333339</v>
      </c>
      <c r="X201" s="689">
        <f t="shared" si="315"/>
        <v>8.3333333333333339</v>
      </c>
      <c r="Y201" s="689">
        <f t="shared" si="315"/>
        <v>8.3333333333333339</v>
      </c>
      <c r="Z201" s="689">
        <f t="shared" si="315"/>
        <v>8.3333333333333339</v>
      </c>
      <c r="AA201" s="689">
        <f t="shared" si="315"/>
        <v>8.3333333333333339</v>
      </c>
      <c r="AB201" s="683">
        <f>SUM(P201:AA201)</f>
        <v>99.999999999999986</v>
      </c>
      <c r="AC201" s="689">
        <v>100</v>
      </c>
      <c r="AD201" s="689">
        <v>100</v>
      </c>
      <c r="AE201" s="689">
        <v>100</v>
      </c>
      <c r="AF201" s="689">
        <v>100</v>
      </c>
      <c r="AG201" s="689">
        <v>100</v>
      </c>
      <c r="AH201" s="689">
        <v>100</v>
      </c>
      <c r="AI201" s="689">
        <v>100</v>
      </c>
      <c r="AJ201" s="689">
        <v>100</v>
      </c>
    </row>
    <row r="202" spans="1:36" s="674" customFormat="1" ht="13.15" customHeight="1" x14ac:dyDescent="0.2">
      <c r="A202" s="680" t="s">
        <v>254</v>
      </c>
      <c r="B202" s="681"/>
      <c r="C202" s="690">
        <f t="shared" ref="C202:N202" si="316">C200*C201</f>
        <v>0</v>
      </c>
      <c r="D202" s="690">
        <f t="shared" si="316"/>
        <v>0</v>
      </c>
      <c r="E202" s="690">
        <f t="shared" si="316"/>
        <v>0</v>
      </c>
      <c r="F202" s="690">
        <f t="shared" si="316"/>
        <v>0</v>
      </c>
      <c r="G202" s="690">
        <f t="shared" si="316"/>
        <v>0</v>
      </c>
      <c r="H202" s="690">
        <f t="shared" si="316"/>
        <v>0</v>
      </c>
      <c r="I202" s="690">
        <f t="shared" si="316"/>
        <v>0</v>
      </c>
      <c r="J202" s="690">
        <f t="shared" si="316"/>
        <v>0</v>
      </c>
      <c r="K202" s="690">
        <f t="shared" si="316"/>
        <v>0</v>
      </c>
      <c r="L202" s="690">
        <f t="shared" si="316"/>
        <v>0</v>
      </c>
      <c r="M202" s="690">
        <f t="shared" si="316"/>
        <v>0</v>
      </c>
      <c r="N202" s="690">
        <f t="shared" si="316"/>
        <v>0</v>
      </c>
      <c r="O202" s="683">
        <f>SUM(C202:N202)</f>
        <v>0</v>
      </c>
      <c r="P202" s="690">
        <f t="shared" ref="P202:AA202" si="317">P200*P201</f>
        <v>0</v>
      </c>
      <c r="Q202" s="690">
        <f t="shared" si="317"/>
        <v>0</v>
      </c>
      <c r="R202" s="690">
        <f t="shared" si="317"/>
        <v>0</v>
      </c>
      <c r="S202" s="690">
        <f t="shared" si="317"/>
        <v>0</v>
      </c>
      <c r="T202" s="690">
        <f t="shared" si="317"/>
        <v>0</v>
      </c>
      <c r="U202" s="690">
        <f t="shared" si="317"/>
        <v>0</v>
      </c>
      <c r="V202" s="690">
        <f t="shared" si="317"/>
        <v>0</v>
      </c>
      <c r="W202" s="690">
        <f t="shared" si="317"/>
        <v>0</v>
      </c>
      <c r="X202" s="690">
        <f t="shared" si="317"/>
        <v>0</v>
      </c>
      <c r="Y202" s="690">
        <f t="shared" si="317"/>
        <v>0</v>
      </c>
      <c r="Z202" s="690">
        <f t="shared" si="317"/>
        <v>0</v>
      </c>
      <c r="AA202" s="690">
        <f t="shared" si="317"/>
        <v>0</v>
      </c>
      <c r="AB202" s="690">
        <f>SUM(P202:AA202)</f>
        <v>0</v>
      </c>
      <c r="AC202" s="690">
        <f t="shared" ref="AC202:AJ202" si="318">AC200*AC201</f>
        <v>0</v>
      </c>
      <c r="AD202" s="690">
        <f t="shared" si="318"/>
        <v>0</v>
      </c>
      <c r="AE202" s="690">
        <f t="shared" si="318"/>
        <v>0</v>
      </c>
      <c r="AF202" s="690">
        <f t="shared" si="318"/>
        <v>0</v>
      </c>
      <c r="AG202" s="690">
        <f t="shared" si="318"/>
        <v>0</v>
      </c>
      <c r="AH202" s="690">
        <f t="shared" si="318"/>
        <v>0</v>
      </c>
      <c r="AI202" s="690">
        <f t="shared" si="318"/>
        <v>0</v>
      </c>
      <c r="AJ202" s="690">
        <f t="shared" si="318"/>
        <v>0</v>
      </c>
    </row>
    <row r="203" spans="1:36" s="674" customFormat="1" ht="13.15" customHeight="1" x14ac:dyDescent="0.2">
      <c r="A203" s="680" t="s">
        <v>249</v>
      </c>
      <c r="B203" s="681"/>
      <c r="C203" s="686">
        <f>C197</f>
        <v>2</v>
      </c>
      <c r="D203" s="686">
        <f t="shared" ref="D203:AJ203" si="319">D197</f>
        <v>2</v>
      </c>
      <c r="E203" s="686">
        <f t="shared" si="319"/>
        <v>2</v>
      </c>
      <c r="F203" s="686">
        <f t="shared" si="319"/>
        <v>2</v>
      </c>
      <c r="G203" s="686">
        <f t="shared" si="319"/>
        <v>2</v>
      </c>
      <c r="H203" s="686">
        <f t="shared" si="319"/>
        <v>2</v>
      </c>
      <c r="I203" s="686">
        <f t="shared" si="319"/>
        <v>2</v>
      </c>
      <c r="J203" s="686">
        <f t="shared" si="319"/>
        <v>2</v>
      </c>
      <c r="K203" s="686">
        <f t="shared" si="319"/>
        <v>2</v>
      </c>
      <c r="L203" s="686">
        <f t="shared" si="319"/>
        <v>2</v>
      </c>
      <c r="M203" s="686">
        <f t="shared" si="319"/>
        <v>2</v>
      </c>
      <c r="N203" s="686">
        <f t="shared" si="319"/>
        <v>2</v>
      </c>
      <c r="O203" s="686">
        <f t="shared" si="319"/>
        <v>2</v>
      </c>
      <c r="P203" s="686">
        <f t="shared" si="319"/>
        <v>2</v>
      </c>
      <c r="Q203" s="686">
        <f t="shared" si="319"/>
        <v>2</v>
      </c>
      <c r="R203" s="686">
        <f t="shared" si="319"/>
        <v>2</v>
      </c>
      <c r="S203" s="686">
        <f t="shared" si="319"/>
        <v>2</v>
      </c>
      <c r="T203" s="686">
        <f t="shared" si="319"/>
        <v>2</v>
      </c>
      <c r="U203" s="686">
        <f t="shared" si="319"/>
        <v>2</v>
      </c>
      <c r="V203" s="686">
        <f t="shared" si="319"/>
        <v>2</v>
      </c>
      <c r="W203" s="686">
        <f t="shared" si="319"/>
        <v>2</v>
      </c>
      <c r="X203" s="686">
        <f t="shared" si="319"/>
        <v>2</v>
      </c>
      <c r="Y203" s="686">
        <f t="shared" si="319"/>
        <v>2</v>
      </c>
      <c r="Z203" s="686">
        <f t="shared" si="319"/>
        <v>2</v>
      </c>
      <c r="AA203" s="686">
        <f t="shared" si="319"/>
        <v>2</v>
      </c>
      <c r="AB203" s="686">
        <f t="shared" si="319"/>
        <v>2</v>
      </c>
      <c r="AC203" s="686">
        <f t="shared" si="319"/>
        <v>2</v>
      </c>
      <c r="AD203" s="686">
        <f t="shared" si="319"/>
        <v>2</v>
      </c>
      <c r="AE203" s="686">
        <f t="shared" si="319"/>
        <v>2</v>
      </c>
      <c r="AF203" s="686">
        <f t="shared" si="319"/>
        <v>2</v>
      </c>
      <c r="AG203" s="686">
        <f t="shared" si="319"/>
        <v>2</v>
      </c>
      <c r="AH203" s="686">
        <f t="shared" si="319"/>
        <v>2</v>
      </c>
      <c r="AI203" s="686">
        <f t="shared" si="319"/>
        <v>2</v>
      </c>
      <c r="AJ203" s="686">
        <f t="shared" si="319"/>
        <v>2</v>
      </c>
    </row>
    <row r="204" spans="1:36" s="674" customFormat="1" ht="13.15" customHeight="1" x14ac:dyDescent="0.2">
      <c r="A204" s="680" t="s">
        <v>255</v>
      </c>
      <c r="B204" s="681"/>
      <c r="C204" s="690">
        <f t="shared" ref="C204:N204" si="320">C202*C203</f>
        <v>0</v>
      </c>
      <c r="D204" s="690">
        <f t="shared" si="320"/>
        <v>0</v>
      </c>
      <c r="E204" s="690">
        <f t="shared" si="320"/>
        <v>0</v>
      </c>
      <c r="F204" s="690">
        <f t="shared" si="320"/>
        <v>0</v>
      </c>
      <c r="G204" s="690">
        <f t="shared" si="320"/>
        <v>0</v>
      </c>
      <c r="H204" s="690">
        <f t="shared" si="320"/>
        <v>0</v>
      </c>
      <c r="I204" s="690">
        <f t="shared" si="320"/>
        <v>0</v>
      </c>
      <c r="J204" s="690">
        <f t="shared" si="320"/>
        <v>0</v>
      </c>
      <c r="K204" s="690">
        <f t="shared" si="320"/>
        <v>0</v>
      </c>
      <c r="L204" s="690">
        <f t="shared" si="320"/>
        <v>0</v>
      </c>
      <c r="M204" s="690">
        <f t="shared" si="320"/>
        <v>0</v>
      </c>
      <c r="N204" s="690">
        <f t="shared" si="320"/>
        <v>0</v>
      </c>
      <c r="O204" s="691">
        <f>SUM(C204:N204)</f>
        <v>0</v>
      </c>
      <c r="P204" s="690">
        <f t="shared" ref="P204:AA204" si="321">P202*P203</f>
        <v>0</v>
      </c>
      <c r="Q204" s="690">
        <f t="shared" si="321"/>
        <v>0</v>
      </c>
      <c r="R204" s="690">
        <f t="shared" si="321"/>
        <v>0</v>
      </c>
      <c r="S204" s="690">
        <f t="shared" si="321"/>
        <v>0</v>
      </c>
      <c r="T204" s="690">
        <f t="shared" si="321"/>
        <v>0</v>
      </c>
      <c r="U204" s="690">
        <f t="shared" si="321"/>
        <v>0</v>
      </c>
      <c r="V204" s="690">
        <f t="shared" si="321"/>
        <v>0</v>
      </c>
      <c r="W204" s="690">
        <f t="shared" si="321"/>
        <v>0</v>
      </c>
      <c r="X204" s="690">
        <f t="shared" si="321"/>
        <v>0</v>
      </c>
      <c r="Y204" s="690">
        <f t="shared" si="321"/>
        <v>0</v>
      </c>
      <c r="Z204" s="690">
        <f t="shared" si="321"/>
        <v>0</v>
      </c>
      <c r="AA204" s="690">
        <f t="shared" si="321"/>
        <v>0</v>
      </c>
      <c r="AB204" s="691">
        <f>SUM(P204:AA204)</f>
        <v>0</v>
      </c>
      <c r="AC204" s="690">
        <f t="shared" ref="AC204:AJ204" si="322">AC202*AC203</f>
        <v>0</v>
      </c>
      <c r="AD204" s="690">
        <f t="shared" si="322"/>
        <v>0</v>
      </c>
      <c r="AE204" s="690">
        <f t="shared" si="322"/>
        <v>0</v>
      </c>
      <c r="AF204" s="690">
        <f t="shared" si="322"/>
        <v>0</v>
      </c>
      <c r="AG204" s="690">
        <f t="shared" si="322"/>
        <v>0</v>
      </c>
      <c r="AH204" s="690">
        <f t="shared" si="322"/>
        <v>0</v>
      </c>
      <c r="AI204" s="690">
        <f t="shared" si="322"/>
        <v>0</v>
      </c>
      <c r="AJ204" s="690">
        <f t="shared" si="322"/>
        <v>0</v>
      </c>
    </row>
    <row r="205" spans="1:36" s="674" customFormat="1" ht="13.15" customHeight="1" x14ac:dyDescent="0.2">
      <c r="B205" s="681"/>
      <c r="C205" s="682"/>
      <c r="D205" s="682"/>
      <c r="E205" s="682"/>
      <c r="F205" s="682"/>
      <c r="G205" s="682"/>
      <c r="H205" s="682"/>
      <c r="I205" s="682"/>
      <c r="J205" s="682"/>
      <c r="K205" s="682"/>
      <c r="L205" s="682"/>
      <c r="M205" s="682"/>
      <c r="N205" s="682"/>
      <c r="O205" s="683"/>
      <c r="P205" s="682"/>
      <c r="Q205" s="682"/>
      <c r="R205" s="682"/>
      <c r="S205" s="682"/>
      <c r="T205" s="682"/>
      <c r="U205" s="682"/>
      <c r="V205" s="682"/>
      <c r="W205" s="682"/>
      <c r="X205" s="682"/>
      <c r="Y205" s="682"/>
      <c r="Z205" s="682"/>
      <c r="AA205" s="682"/>
      <c r="AB205" s="683"/>
      <c r="AC205" s="683"/>
      <c r="AD205" s="683"/>
      <c r="AE205" s="683"/>
    </row>
    <row r="206" spans="1:36" s="674" customFormat="1" ht="13.15" customHeight="1" x14ac:dyDescent="0.2">
      <c r="A206" s="680" t="s">
        <v>256</v>
      </c>
      <c r="B206" s="681"/>
      <c r="C206" s="689">
        <v>0</v>
      </c>
      <c r="D206" s="689">
        <v>0</v>
      </c>
      <c r="E206" s="689">
        <v>0</v>
      </c>
      <c r="F206" s="689">
        <v>0</v>
      </c>
      <c r="G206" s="689">
        <v>0</v>
      </c>
      <c r="H206" s="689">
        <v>0</v>
      </c>
      <c r="I206" s="689">
        <v>0</v>
      </c>
      <c r="J206" s="689">
        <v>0</v>
      </c>
      <c r="K206" s="689">
        <v>0</v>
      </c>
      <c r="L206" s="689">
        <v>0</v>
      </c>
      <c r="M206" s="689">
        <v>0</v>
      </c>
      <c r="N206" s="689">
        <v>0</v>
      </c>
      <c r="O206" s="690">
        <f>N206</f>
        <v>0</v>
      </c>
      <c r="P206" s="689">
        <f>N206</f>
        <v>0</v>
      </c>
      <c r="Q206" s="689">
        <f t="shared" ref="Q206:AB206" si="323">P206</f>
        <v>0</v>
      </c>
      <c r="R206" s="689">
        <f t="shared" si="323"/>
        <v>0</v>
      </c>
      <c r="S206" s="689">
        <f t="shared" si="323"/>
        <v>0</v>
      </c>
      <c r="T206" s="689">
        <f t="shared" si="323"/>
        <v>0</v>
      </c>
      <c r="U206" s="689">
        <f t="shared" si="323"/>
        <v>0</v>
      </c>
      <c r="V206" s="689">
        <f t="shared" si="323"/>
        <v>0</v>
      </c>
      <c r="W206" s="689">
        <f t="shared" si="323"/>
        <v>0</v>
      </c>
      <c r="X206" s="689">
        <f t="shared" si="323"/>
        <v>0</v>
      </c>
      <c r="Y206" s="689">
        <f t="shared" si="323"/>
        <v>0</v>
      </c>
      <c r="Z206" s="689">
        <f t="shared" si="323"/>
        <v>0</v>
      </c>
      <c r="AA206" s="689">
        <f t="shared" si="323"/>
        <v>0</v>
      </c>
      <c r="AB206" s="690">
        <f t="shared" si="323"/>
        <v>0</v>
      </c>
      <c r="AC206" s="689">
        <f>AA206</f>
        <v>0</v>
      </c>
      <c r="AD206" s="689">
        <f t="shared" ref="AD206:AJ206" si="324">AC206</f>
        <v>0</v>
      </c>
      <c r="AE206" s="689">
        <f t="shared" si="324"/>
        <v>0</v>
      </c>
      <c r="AF206" s="689">
        <f t="shared" si="324"/>
        <v>0</v>
      </c>
      <c r="AG206" s="689">
        <f t="shared" si="324"/>
        <v>0</v>
      </c>
      <c r="AH206" s="689">
        <f t="shared" si="324"/>
        <v>0</v>
      </c>
      <c r="AI206" s="689">
        <f t="shared" si="324"/>
        <v>0</v>
      </c>
      <c r="AJ206" s="689">
        <f t="shared" si="324"/>
        <v>0</v>
      </c>
    </row>
    <row r="207" spans="1:36" s="674" customFormat="1" ht="13.15" customHeight="1" x14ac:dyDescent="0.2">
      <c r="A207" s="680" t="s">
        <v>252</v>
      </c>
      <c r="B207" s="681"/>
      <c r="C207" s="689">
        <f>300/12</f>
        <v>25</v>
      </c>
      <c r="D207" s="689">
        <f t="shared" ref="D207:N207" si="325">300/12</f>
        <v>25</v>
      </c>
      <c r="E207" s="689">
        <f t="shared" si="325"/>
        <v>25</v>
      </c>
      <c r="F207" s="689">
        <f t="shared" si="325"/>
        <v>25</v>
      </c>
      <c r="G207" s="689">
        <f t="shared" si="325"/>
        <v>25</v>
      </c>
      <c r="H207" s="689">
        <f t="shared" si="325"/>
        <v>25</v>
      </c>
      <c r="I207" s="689">
        <f t="shared" si="325"/>
        <v>25</v>
      </c>
      <c r="J207" s="689">
        <f t="shared" si="325"/>
        <v>25</v>
      </c>
      <c r="K207" s="689">
        <f t="shared" si="325"/>
        <v>25</v>
      </c>
      <c r="L207" s="689">
        <f t="shared" si="325"/>
        <v>25</v>
      </c>
      <c r="M207" s="689">
        <f t="shared" si="325"/>
        <v>25</v>
      </c>
      <c r="N207" s="689">
        <f t="shared" si="325"/>
        <v>25</v>
      </c>
      <c r="O207" s="683">
        <f>SUM(C207:N207)</f>
        <v>300</v>
      </c>
      <c r="P207" s="689">
        <f>300/12</f>
        <v>25</v>
      </c>
      <c r="Q207" s="689">
        <f t="shared" ref="Q207:AA207" si="326">300/12</f>
        <v>25</v>
      </c>
      <c r="R207" s="689">
        <f t="shared" si="326"/>
        <v>25</v>
      </c>
      <c r="S207" s="689">
        <f t="shared" si="326"/>
        <v>25</v>
      </c>
      <c r="T207" s="689">
        <f t="shared" si="326"/>
        <v>25</v>
      </c>
      <c r="U207" s="689">
        <f t="shared" si="326"/>
        <v>25</v>
      </c>
      <c r="V207" s="689">
        <f t="shared" si="326"/>
        <v>25</v>
      </c>
      <c r="W207" s="689">
        <f t="shared" si="326"/>
        <v>25</v>
      </c>
      <c r="X207" s="689">
        <f t="shared" si="326"/>
        <v>25</v>
      </c>
      <c r="Y207" s="689">
        <f t="shared" si="326"/>
        <v>25</v>
      </c>
      <c r="Z207" s="689">
        <f t="shared" si="326"/>
        <v>25</v>
      </c>
      <c r="AA207" s="689">
        <f t="shared" si="326"/>
        <v>25</v>
      </c>
      <c r="AB207" s="683">
        <f>SUM(P207:AA207)</f>
        <v>300</v>
      </c>
      <c r="AC207" s="689">
        <v>300</v>
      </c>
      <c r="AD207" s="689">
        <v>300</v>
      </c>
      <c r="AE207" s="689">
        <v>300</v>
      </c>
      <c r="AF207" s="689">
        <v>300</v>
      </c>
      <c r="AG207" s="689">
        <v>300</v>
      </c>
      <c r="AH207" s="689">
        <v>300</v>
      </c>
      <c r="AI207" s="689">
        <v>300</v>
      </c>
      <c r="AJ207" s="689">
        <v>300</v>
      </c>
    </row>
    <row r="208" spans="1:36" s="674" customFormat="1" ht="13.15" customHeight="1" x14ac:dyDescent="0.2">
      <c r="A208" s="680" t="s">
        <v>254</v>
      </c>
      <c r="B208" s="681"/>
      <c r="C208" s="690">
        <f t="shared" ref="C208:N208" si="327">C206*C207</f>
        <v>0</v>
      </c>
      <c r="D208" s="690">
        <f t="shared" si="327"/>
        <v>0</v>
      </c>
      <c r="E208" s="690">
        <f t="shared" si="327"/>
        <v>0</v>
      </c>
      <c r="F208" s="690">
        <f t="shared" si="327"/>
        <v>0</v>
      </c>
      <c r="G208" s="690">
        <f t="shared" si="327"/>
        <v>0</v>
      </c>
      <c r="H208" s="690">
        <f t="shared" si="327"/>
        <v>0</v>
      </c>
      <c r="I208" s="690">
        <f t="shared" si="327"/>
        <v>0</v>
      </c>
      <c r="J208" s="690">
        <f t="shared" si="327"/>
        <v>0</v>
      </c>
      <c r="K208" s="690">
        <f t="shared" si="327"/>
        <v>0</v>
      </c>
      <c r="L208" s="690">
        <f t="shared" si="327"/>
        <v>0</v>
      </c>
      <c r="M208" s="690">
        <f t="shared" si="327"/>
        <v>0</v>
      </c>
      <c r="N208" s="690">
        <f t="shared" si="327"/>
        <v>0</v>
      </c>
      <c r="O208" s="683">
        <f>SUM(C208:N208)</f>
        <v>0</v>
      </c>
      <c r="P208" s="690">
        <f t="shared" ref="P208:AA208" si="328">P206*P207</f>
        <v>0</v>
      </c>
      <c r="Q208" s="690">
        <f t="shared" si="328"/>
        <v>0</v>
      </c>
      <c r="R208" s="690">
        <f t="shared" si="328"/>
        <v>0</v>
      </c>
      <c r="S208" s="690">
        <f t="shared" si="328"/>
        <v>0</v>
      </c>
      <c r="T208" s="690">
        <f t="shared" si="328"/>
        <v>0</v>
      </c>
      <c r="U208" s="690">
        <f t="shared" si="328"/>
        <v>0</v>
      </c>
      <c r="V208" s="690">
        <f t="shared" si="328"/>
        <v>0</v>
      </c>
      <c r="W208" s="690">
        <f t="shared" si="328"/>
        <v>0</v>
      </c>
      <c r="X208" s="690">
        <f t="shared" si="328"/>
        <v>0</v>
      </c>
      <c r="Y208" s="690">
        <f t="shared" si="328"/>
        <v>0</v>
      </c>
      <c r="Z208" s="690">
        <f t="shared" si="328"/>
        <v>0</v>
      </c>
      <c r="AA208" s="690">
        <f t="shared" si="328"/>
        <v>0</v>
      </c>
      <c r="AB208" s="683">
        <f>SUM(P208:AA208)</f>
        <v>0</v>
      </c>
      <c r="AC208" s="690">
        <f t="shared" ref="AC208:AJ208" si="329">AC206*AC207</f>
        <v>0</v>
      </c>
      <c r="AD208" s="690">
        <f t="shared" si="329"/>
        <v>0</v>
      </c>
      <c r="AE208" s="690">
        <f t="shared" si="329"/>
        <v>0</v>
      </c>
      <c r="AF208" s="690">
        <f t="shared" si="329"/>
        <v>0</v>
      </c>
      <c r="AG208" s="690">
        <f t="shared" si="329"/>
        <v>0</v>
      </c>
      <c r="AH208" s="690">
        <f t="shared" si="329"/>
        <v>0</v>
      </c>
      <c r="AI208" s="690">
        <f t="shared" si="329"/>
        <v>0</v>
      </c>
      <c r="AJ208" s="690">
        <f t="shared" si="329"/>
        <v>0</v>
      </c>
    </row>
    <row r="209" spans="1:37" s="674" customFormat="1" ht="13.15" customHeight="1" x14ac:dyDescent="0.2">
      <c r="A209" s="680" t="s">
        <v>249</v>
      </c>
      <c r="B209" s="681"/>
      <c r="C209" s="686">
        <f>C197</f>
        <v>2</v>
      </c>
      <c r="D209" s="686">
        <f t="shared" ref="D209:AJ209" si="330">D197</f>
        <v>2</v>
      </c>
      <c r="E209" s="686">
        <f t="shared" si="330"/>
        <v>2</v>
      </c>
      <c r="F209" s="686">
        <f t="shared" si="330"/>
        <v>2</v>
      </c>
      <c r="G209" s="686">
        <f t="shared" si="330"/>
        <v>2</v>
      </c>
      <c r="H209" s="686">
        <f t="shared" si="330"/>
        <v>2</v>
      </c>
      <c r="I209" s="686">
        <f t="shared" si="330"/>
        <v>2</v>
      </c>
      <c r="J209" s="686">
        <f t="shared" si="330"/>
        <v>2</v>
      </c>
      <c r="K209" s="686">
        <f t="shared" si="330"/>
        <v>2</v>
      </c>
      <c r="L209" s="686">
        <f t="shared" si="330"/>
        <v>2</v>
      </c>
      <c r="M209" s="686">
        <f t="shared" si="330"/>
        <v>2</v>
      </c>
      <c r="N209" s="686">
        <f t="shared" si="330"/>
        <v>2</v>
      </c>
      <c r="O209" s="686">
        <f t="shared" si="330"/>
        <v>2</v>
      </c>
      <c r="P209" s="686">
        <f t="shared" si="330"/>
        <v>2</v>
      </c>
      <c r="Q209" s="686">
        <f t="shared" si="330"/>
        <v>2</v>
      </c>
      <c r="R209" s="686">
        <f t="shared" si="330"/>
        <v>2</v>
      </c>
      <c r="S209" s="686">
        <f t="shared" si="330"/>
        <v>2</v>
      </c>
      <c r="T209" s="686">
        <f t="shared" si="330"/>
        <v>2</v>
      </c>
      <c r="U209" s="686">
        <f t="shared" si="330"/>
        <v>2</v>
      </c>
      <c r="V209" s="686">
        <f t="shared" si="330"/>
        <v>2</v>
      </c>
      <c r="W209" s="686">
        <f t="shared" si="330"/>
        <v>2</v>
      </c>
      <c r="X209" s="686">
        <f t="shared" si="330"/>
        <v>2</v>
      </c>
      <c r="Y209" s="686">
        <f t="shared" si="330"/>
        <v>2</v>
      </c>
      <c r="Z209" s="686">
        <f t="shared" si="330"/>
        <v>2</v>
      </c>
      <c r="AA209" s="686">
        <f t="shared" si="330"/>
        <v>2</v>
      </c>
      <c r="AB209" s="686">
        <f t="shared" si="330"/>
        <v>2</v>
      </c>
      <c r="AC209" s="686">
        <f t="shared" si="330"/>
        <v>2</v>
      </c>
      <c r="AD209" s="686">
        <f t="shared" si="330"/>
        <v>2</v>
      </c>
      <c r="AE209" s="686">
        <f t="shared" si="330"/>
        <v>2</v>
      </c>
      <c r="AF209" s="686">
        <f t="shared" si="330"/>
        <v>2</v>
      </c>
      <c r="AG209" s="686">
        <f t="shared" si="330"/>
        <v>2</v>
      </c>
      <c r="AH209" s="686">
        <f t="shared" si="330"/>
        <v>2</v>
      </c>
      <c r="AI209" s="686">
        <f t="shared" si="330"/>
        <v>2</v>
      </c>
      <c r="AJ209" s="686">
        <f t="shared" si="330"/>
        <v>2</v>
      </c>
    </row>
    <row r="210" spans="1:37" s="674" customFormat="1" ht="13.15" customHeight="1" x14ac:dyDescent="0.2">
      <c r="A210" s="680" t="s">
        <v>255</v>
      </c>
      <c r="B210" s="681"/>
      <c r="C210" s="690">
        <f t="shared" ref="C210:N210" si="331">C208*C209</f>
        <v>0</v>
      </c>
      <c r="D210" s="690">
        <f t="shared" si="331"/>
        <v>0</v>
      </c>
      <c r="E210" s="690">
        <f t="shared" si="331"/>
        <v>0</v>
      </c>
      <c r="F210" s="690">
        <f t="shared" si="331"/>
        <v>0</v>
      </c>
      <c r="G210" s="690">
        <f t="shared" si="331"/>
        <v>0</v>
      </c>
      <c r="H210" s="690">
        <f t="shared" si="331"/>
        <v>0</v>
      </c>
      <c r="I210" s="690">
        <f t="shared" si="331"/>
        <v>0</v>
      </c>
      <c r="J210" s="690">
        <f t="shared" si="331"/>
        <v>0</v>
      </c>
      <c r="K210" s="690">
        <f t="shared" si="331"/>
        <v>0</v>
      </c>
      <c r="L210" s="690">
        <f t="shared" si="331"/>
        <v>0</v>
      </c>
      <c r="M210" s="690">
        <f t="shared" si="331"/>
        <v>0</v>
      </c>
      <c r="N210" s="690">
        <f t="shared" si="331"/>
        <v>0</v>
      </c>
      <c r="O210" s="691">
        <f>SUM(C210:N210)</f>
        <v>0</v>
      </c>
      <c r="P210" s="690">
        <f t="shared" ref="P210:AA210" si="332">P208*P209</f>
        <v>0</v>
      </c>
      <c r="Q210" s="690">
        <f t="shared" si="332"/>
        <v>0</v>
      </c>
      <c r="R210" s="690">
        <f t="shared" si="332"/>
        <v>0</v>
      </c>
      <c r="S210" s="690">
        <f t="shared" si="332"/>
        <v>0</v>
      </c>
      <c r="T210" s="690">
        <f t="shared" si="332"/>
        <v>0</v>
      </c>
      <c r="U210" s="690">
        <f t="shared" si="332"/>
        <v>0</v>
      </c>
      <c r="V210" s="690">
        <f t="shared" si="332"/>
        <v>0</v>
      </c>
      <c r="W210" s="690">
        <f t="shared" si="332"/>
        <v>0</v>
      </c>
      <c r="X210" s="690">
        <f t="shared" si="332"/>
        <v>0</v>
      </c>
      <c r="Y210" s="690">
        <f t="shared" si="332"/>
        <v>0</v>
      </c>
      <c r="Z210" s="690">
        <f t="shared" si="332"/>
        <v>0</v>
      </c>
      <c r="AA210" s="690">
        <f t="shared" si="332"/>
        <v>0</v>
      </c>
      <c r="AB210" s="691">
        <f>SUM(P210:AA210)</f>
        <v>0</v>
      </c>
      <c r="AC210" s="690">
        <f t="shared" ref="AC210:AJ210" si="333">AC208*AC209</f>
        <v>0</v>
      </c>
      <c r="AD210" s="690">
        <f t="shared" si="333"/>
        <v>0</v>
      </c>
      <c r="AE210" s="690">
        <f t="shared" si="333"/>
        <v>0</v>
      </c>
      <c r="AF210" s="690">
        <f t="shared" si="333"/>
        <v>0</v>
      </c>
      <c r="AG210" s="690">
        <f t="shared" si="333"/>
        <v>0</v>
      </c>
      <c r="AH210" s="690">
        <f t="shared" si="333"/>
        <v>0</v>
      </c>
      <c r="AI210" s="690">
        <f t="shared" si="333"/>
        <v>0</v>
      </c>
      <c r="AJ210" s="690">
        <f t="shared" si="333"/>
        <v>0</v>
      </c>
    </row>
    <row r="211" spans="1:37" s="674" customFormat="1" ht="13.15" customHeight="1" x14ac:dyDescent="0.2">
      <c r="A211" s="680"/>
      <c r="B211" s="681"/>
      <c r="C211" s="682"/>
      <c r="D211" s="682"/>
      <c r="E211" s="682"/>
      <c r="F211" s="682"/>
      <c r="G211" s="682"/>
      <c r="H211" s="682"/>
      <c r="I211" s="682"/>
      <c r="J211" s="682"/>
      <c r="K211" s="682"/>
      <c r="L211" s="682"/>
      <c r="M211" s="682"/>
      <c r="N211" s="682"/>
      <c r="O211" s="683"/>
      <c r="P211" s="682"/>
      <c r="Q211" s="682"/>
      <c r="R211" s="682"/>
      <c r="S211" s="682"/>
      <c r="T211" s="682"/>
      <c r="U211" s="682"/>
      <c r="V211" s="682"/>
      <c r="W211" s="682"/>
      <c r="X211" s="682"/>
      <c r="Y211" s="682"/>
      <c r="Z211" s="682"/>
      <c r="AA211" s="682"/>
      <c r="AB211" s="683"/>
      <c r="AC211" s="683"/>
      <c r="AD211" s="683"/>
      <c r="AE211" s="683"/>
    </row>
    <row r="212" spans="1:37" s="684" customFormat="1" ht="13.15" customHeight="1" x14ac:dyDescent="0.2">
      <c r="A212" s="676" t="s">
        <v>257</v>
      </c>
      <c r="B212" s="677"/>
      <c r="C212" s="694">
        <f>C198+C204+C210</f>
        <v>0</v>
      </c>
      <c r="D212" s="694">
        <f t="shared" ref="D212:N212" si="334">D198+D204+D210</f>
        <v>0</v>
      </c>
      <c r="E212" s="694">
        <f t="shared" si="334"/>
        <v>0</v>
      </c>
      <c r="F212" s="694">
        <f t="shared" si="334"/>
        <v>0</v>
      </c>
      <c r="G212" s="694">
        <f t="shared" si="334"/>
        <v>0</v>
      </c>
      <c r="H212" s="694">
        <f t="shared" si="334"/>
        <v>0</v>
      </c>
      <c r="I212" s="694">
        <f t="shared" si="334"/>
        <v>0</v>
      </c>
      <c r="J212" s="694">
        <f t="shared" si="334"/>
        <v>0</v>
      </c>
      <c r="K212" s="694">
        <f t="shared" si="334"/>
        <v>0</v>
      </c>
      <c r="L212" s="694">
        <f t="shared" si="334"/>
        <v>0</v>
      </c>
      <c r="M212" s="694">
        <f t="shared" si="334"/>
        <v>0</v>
      </c>
      <c r="N212" s="694">
        <f t="shared" si="334"/>
        <v>0</v>
      </c>
      <c r="O212" s="679">
        <f>SUM(C212:N212)</f>
        <v>0</v>
      </c>
      <c r="P212" s="694">
        <f t="shared" ref="P212:AA212" si="335">P198+P204+P210</f>
        <v>0</v>
      </c>
      <c r="Q212" s="694">
        <f t="shared" si="335"/>
        <v>0</v>
      </c>
      <c r="R212" s="694">
        <f t="shared" si="335"/>
        <v>0</v>
      </c>
      <c r="S212" s="694">
        <f t="shared" si="335"/>
        <v>0</v>
      </c>
      <c r="T212" s="694">
        <f t="shared" si="335"/>
        <v>0</v>
      </c>
      <c r="U212" s="694">
        <f t="shared" si="335"/>
        <v>0</v>
      </c>
      <c r="V212" s="694">
        <f t="shared" si="335"/>
        <v>0</v>
      </c>
      <c r="W212" s="694">
        <f t="shared" si="335"/>
        <v>0</v>
      </c>
      <c r="X212" s="694">
        <f t="shared" si="335"/>
        <v>0</v>
      </c>
      <c r="Y212" s="694">
        <f t="shared" si="335"/>
        <v>0</v>
      </c>
      <c r="Z212" s="694">
        <f t="shared" si="335"/>
        <v>0</v>
      </c>
      <c r="AA212" s="694">
        <f t="shared" si="335"/>
        <v>0</v>
      </c>
      <c r="AB212" s="694">
        <f>SUM(P212:AA212)</f>
        <v>0</v>
      </c>
      <c r="AC212" s="694">
        <f t="shared" ref="AC212:AJ212" si="336">AC198+AC204+AC210</f>
        <v>793.8000000000003</v>
      </c>
      <c r="AD212" s="694">
        <f t="shared" si="336"/>
        <v>2476.6560000000009</v>
      </c>
      <c r="AE212" s="694">
        <f t="shared" si="336"/>
        <v>5101.9113600000019</v>
      </c>
      <c r="AF212" s="694">
        <f t="shared" si="336"/>
        <v>10407.899174400003</v>
      </c>
      <c r="AG212" s="694">
        <f t="shared" si="336"/>
        <v>15767.967249216004</v>
      </c>
      <c r="AH212" s="694">
        <f t="shared" si="336"/>
        <v>18979.960577760005</v>
      </c>
      <c r="AI212" s="694">
        <f t="shared" si="336"/>
        <v>21899.954512799999</v>
      </c>
      <c r="AJ212" s="694">
        <f t="shared" si="336"/>
        <v>24819.948447840001</v>
      </c>
    </row>
    <row r="213" spans="1:37" s="674" customFormat="1" ht="13.15" customHeight="1" x14ac:dyDescent="0.2">
      <c r="A213" s="680"/>
      <c r="B213" s="681"/>
      <c r="C213" s="682"/>
      <c r="D213" s="682"/>
      <c r="E213" s="682"/>
      <c r="F213" s="682"/>
      <c r="G213" s="682"/>
      <c r="H213" s="682"/>
      <c r="I213" s="682"/>
      <c r="J213" s="682"/>
      <c r="K213" s="682"/>
      <c r="L213" s="682"/>
      <c r="M213" s="682"/>
      <c r="N213" s="682"/>
      <c r="O213" s="683"/>
      <c r="P213" s="682"/>
      <c r="Q213" s="682"/>
      <c r="R213" s="682"/>
      <c r="S213" s="682"/>
      <c r="T213" s="682"/>
      <c r="U213" s="682"/>
      <c r="V213" s="682"/>
      <c r="W213" s="682"/>
      <c r="X213" s="682"/>
      <c r="Y213" s="682"/>
      <c r="Z213" s="682"/>
      <c r="AA213" s="682"/>
      <c r="AB213" s="683"/>
      <c r="AC213" s="683"/>
      <c r="AD213" s="683"/>
      <c r="AE213" s="683"/>
    </row>
    <row r="214" spans="1:37" s="674" customFormat="1" ht="13.15" customHeight="1" x14ac:dyDescent="0.2">
      <c r="A214" s="680" t="s">
        <v>258</v>
      </c>
      <c r="B214" s="681"/>
      <c r="C214" s="767">
        <f>C$25</f>
        <v>300</v>
      </c>
      <c r="D214" s="767">
        <f t="shared" ref="D214:AJ214" si="337">D$25</f>
        <v>300</v>
      </c>
      <c r="E214" s="767">
        <f t="shared" si="337"/>
        <v>300</v>
      </c>
      <c r="F214" s="767">
        <f t="shared" si="337"/>
        <v>300</v>
      </c>
      <c r="G214" s="767">
        <f t="shared" si="337"/>
        <v>300</v>
      </c>
      <c r="H214" s="767">
        <f t="shared" si="337"/>
        <v>300</v>
      </c>
      <c r="I214" s="767">
        <f t="shared" si="337"/>
        <v>300</v>
      </c>
      <c r="J214" s="767">
        <f t="shared" si="337"/>
        <v>300</v>
      </c>
      <c r="K214" s="767">
        <f t="shared" si="337"/>
        <v>300</v>
      </c>
      <c r="L214" s="767">
        <f t="shared" si="337"/>
        <v>300</v>
      </c>
      <c r="M214" s="767">
        <f t="shared" si="337"/>
        <v>300</v>
      </c>
      <c r="N214" s="767">
        <f t="shared" si="337"/>
        <v>300</v>
      </c>
      <c r="O214" s="767">
        <f t="shared" si="337"/>
        <v>300</v>
      </c>
      <c r="P214" s="767">
        <f t="shared" si="337"/>
        <v>300</v>
      </c>
      <c r="Q214" s="767">
        <f t="shared" si="337"/>
        <v>300</v>
      </c>
      <c r="R214" s="767">
        <f t="shared" si="337"/>
        <v>300</v>
      </c>
      <c r="S214" s="767">
        <f t="shared" si="337"/>
        <v>300</v>
      </c>
      <c r="T214" s="767">
        <f t="shared" si="337"/>
        <v>300</v>
      </c>
      <c r="U214" s="767">
        <f t="shared" si="337"/>
        <v>300</v>
      </c>
      <c r="V214" s="767">
        <f t="shared" si="337"/>
        <v>300</v>
      </c>
      <c r="W214" s="767">
        <f t="shared" si="337"/>
        <v>300</v>
      </c>
      <c r="X214" s="767">
        <f t="shared" si="337"/>
        <v>300</v>
      </c>
      <c r="Y214" s="767">
        <f t="shared" si="337"/>
        <v>300</v>
      </c>
      <c r="Z214" s="767">
        <f t="shared" si="337"/>
        <v>300</v>
      </c>
      <c r="AA214" s="767">
        <f t="shared" si="337"/>
        <v>300</v>
      </c>
      <c r="AB214" s="767">
        <f t="shared" si="337"/>
        <v>300</v>
      </c>
      <c r="AC214" s="767">
        <f t="shared" si="337"/>
        <v>300</v>
      </c>
      <c r="AD214" s="767">
        <f t="shared" si="337"/>
        <v>300</v>
      </c>
      <c r="AE214" s="767">
        <f t="shared" si="337"/>
        <v>300</v>
      </c>
      <c r="AF214" s="767">
        <f t="shared" si="337"/>
        <v>300</v>
      </c>
      <c r="AG214" s="767">
        <f t="shared" si="337"/>
        <v>300</v>
      </c>
      <c r="AH214" s="767">
        <f t="shared" si="337"/>
        <v>300</v>
      </c>
      <c r="AI214" s="767">
        <f t="shared" si="337"/>
        <v>300</v>
      </c>
      <c r="AJ214" s="767">
        <f t="shared" si="337"/>
        <v>300</v>
      </c>
      <c r="AK214" s="693"/>
    </row>
    <row r="215" spans="1:37" s="674" customFormat="1" ht="13.15" customHeight="1" x14ac:dyDescent="0.2">
      <c r="A215" s="680"/>
      <c r="B215" s="681"/>
      <c r="C215" s="682"/>
      <c r="D215" s="682"/>
      <c r="E215" s="682"/>
      <c r="F215" s="682"/>
      <c r="G215" s="682"/>
      <c r="H215" s="682"/>
      <c r="I215" s="682"/>
      <c r="J215" s="682"/>
      <c r="K215" s="682"/>
      <c r="L215" s="682"/>
      <c r="M215" s="682"/>
      <c r="N215" s="682"/>
      <c r="O215" s="683"/>
      <c r="P215" s="682"/>
      <c r="Q215" s="682"/>
      <c r="R215" s="682"/>
      <c r="S215" s="682"/>
      <c r="T215" s="682"/>
      <c r="U215" s="682"/>
      <c r="V215" s="682"/>
      <c r="W215" s="682"/>
      <c r="X215" s="682"/>
      <c r="Y215" s="682"/>
      <c r="Z215" s="682"/>
      <c r="AA215" s="682"/>
      <c r="AB215" s="683"/>
      <c r="AC215" s="683"/>
      <c r="AD215" s="683"/>
      <c r="AE215" s="683"/>
    </row>
    <row r="216" spans="1:37" s="766" customFormat="1" ht="13.15" customHeight="1" x14ac:dyDescent="0.2">
      <c r="A216" s="763" t="s">
        <v>421</v>
      </c>
      <c r="B216" s="764"/>
      <c r="C216" s="765">
        <f>C212*C214</f>
        <v>0</v>
      </c>
      <c r="D216" s="765">
        <f t="shared" ref="D216:N216" si="338">D212*D214</f>
        <v>0</v>
      </c>
      <c r="E216" s="765">
        <f t="shared" si="338"/>
        <v>0</v>
      </c>
      <c r="F216" s="765">
        <f t="shared" si="338"/>
        <v>0</v>
      </c>
      <c r="G216" s="765">
        <f t="shared" si="338"/>
        <v>0</v>
      </c>
      <c r="H216" s="765">
        <f t="shared" si="338"/>
        <v>0</v>
      </c>
      <c r="I216" s="765">
        <f t="shared" si="338"/>
        <v>0</v>
      </c>
      <c r="J216" s="765">
        <f t="shared" si="338"/>
        <v>0</v>
      </c>
      <c r="K216" s="765">
        <f t="shared" si="338"/>
        <v>0</v>
      </c>
      <c r="L216" s="765">
        <f t="shared" si="338"/>
        <v>0</v>
      </c>
      <c r="M216" s="765">
        <f t="shared" si="338"/>
        <v>0</v>
      </c>
      <c r="N216" s="765">
        <f t="shared" si="338"/>
        <v>0</v>
      </c>
      <c r="O216" s="765">
        <f>SUM(C216:N216)</f>
        <v>0</v>
      </c>
      <c r="P216" s="765">
        <f>P212*P214</f>
        <v>0</v>
      </c>
      <c r="Q216" s="765">
        <f t="shared" ref="Q216:AA216" si="339">Q212*Q214</f>
        <v>0</v>
      </c>
      <c r="R216" s="765">
        <f t="shared" si="339"/>
        <v>0</v>
      </c>
      <c r="S216" s="765">
        <f t="shared" si="339"/>
        <v>0</v>
      </c>
      <c r="T216" s="765">
        <f t="shared" si="339"/>
        <v>0</v>
      </c>
      <c r="U216" s="765">
        <f t="shared" si="339"/>
        <v>0</v>
      </c>
      <c r="V216" s="765">
        <f t="shared" si="339"/>
        <v>0</v>
      </c>
      <c r="W216" s="765">
        <f t="shared" si="339"/>
        <v>0</v>
      </c>
      <c r="X216" s="765">
        <f t="shared" si="339"/>
        <v>0</v>
      </c>
      <c r="Y216" s="765">
        <f t="shared" si="339"/>
        <v>0</v>
      </c>
      <c r="Z216" s="765">
        <f t="shared" si="339"/>
        <v>0</v>
      </c>
      <c r="AA216" s="765">
        <f t="shared" si="339"/>
        <v>0</v>
      </c>
      <c r="AB216" s="765">
        <f>SUM(P216:AA216)</f>
        <v>0</v>
      </c>
      <c r="AC216" s="765">
        <f t="shared" ref="AC216:AJ216" si="340">AC212*AC214</f>
        <v>238140.00000000009</v>
      </c>
      <c r="AD216" s="765">
        <f t="shared" si="340"/>
        <v>742996.80000000028</v>
      </c>
      <c r="AE216" s="765">
        <f t="shared" si="340"/>
        <v>1530573.4080000005</v>
      </c>
      <c r="AF216" s="765">
        <f t="shared" si="340"/>
        <v>3122369.7523200009</v>
      </c>
      <c r="AG216" s="765">
        <f t="shared" si="340"/>
        <v>4730390.1747648017</v>
      </c>
      <c r="AH216" s="765">
        <f t="shared" si="340"/>
        <v>5693988.1733280011</v>
      </c>
      <c r="AI216" s="765">
        <f t="shared" si="340"/>
        <v>6569986.35384</v>
      </c>
      <c r="AJ216" s="765">
        <f t="shared" si="340"/>
        <v>7445984.5343519999</v>
      </c>
    </row>
    <row r="217" spans="1:37" s="674" customFormat="1" ht="13.15" customHeight="1" x14ac:dyDescent="0.2">
      <c r="A217" s="680"/>
      <c r="B217" s="681"/>
      <c r="C217" s="682"/>
      <c r="D217" s="682"/>
      <c r="E217" s="682"/>
      <c r="F217" s="682"/>
      <c r="G217" s="682"/>
      <c r="H217" s="682"/>
      <c r="I217" s="682"/>
      <c r="J217" s="682"/>
      <c r="K217" s="682"/>
      <c r="L217" s="682"/>
      <c r="M217" s="682"/>
      <c r="N217" s="682"/>
      <c r="O217" s="683"/>
      <c r="P217" s="682"/>
      <c r="Q217" s="682"/>
      <c r="R217" s="682"/>
      <c r="S217" s="682"/>
      <c r="T217" s="682"/>
      <c r="U217" s="682"/>
      <c r="V217" s="682"/>
      <c r="W217" s="682"/>
      <c r="X217" s="682"/>
      <c r="Y217" s="682"/>
      <c r="Z217" s="682"/>
      <c r="AA217" s="682"/>
      <c r="AB217" s="683"/>
      <c r="AC217" s="683"/>
      <c r="AD217" s="683"/>
      <c r="AE217" s="683"/>
    </row>
    <row r="218" spans="1:37" s="674" customFormat="1" ht="13.15" customHeight="1" x14ac:dyDescent="0.2">
      <c r="A218" s="680"/>
      <c r="B218" s="681"/>
      <c r="C218" s="682"/>
      <c r="D218" s="682"/>
      <c r="E218" s="682"/>
      <c r="F218" s="682"/>
      <c r="G218" s="682"/>
      <c r="H218" s="682"/>
      <c r="I218" s="682"/>
      <c r="J218" s="682"/>
      <c r="K218" s="682"/>
      <c r="L218" s="682"/>
      <c r="M218" s="682"/>
      <c r="N218" s="682"/>
      <c r="O218" s="683"/>
      <c r="P218" s="682"/>
      <c r="Q218" s="682"/>
      <c r="R218" s="682"/>
      <c r="S218" s="682"/>
      <c r="T218" s="682"/>
      <c r="U218" s="682"/>
      <c r="V218" s="682"/>
      <c r="W218" s="682"/>
      <c r="X218" s="682"/>
      <c r="Y218" s="682"/>
      <c r="Z218" s="682"/>
      <c r="AA218" s="682"/>
      <c r="AB218" s="683"/>
      <c r="AC218" s="683"/>
      <c r="AD218" s="683"/>
      <c r="AE218" s="683"/>
    </row>
    <row r="219" spans="1:37" s="674" customFormat="1" ht="13.15" customHeight="1" x14ac:dyDescent="0.2">
      <c r="A219" s="676" t="s">
        <v>448</v>
      </c>
      <c r="B219" s="677"/>
      <c r="C219" s="678"/>
      <c r="D219" s="678"/>
      <c r="E219" s="678"/>
      <c r="F219" s="678"/>
      <c r="G219" s="678"/>
      <c r="H219" s="678"/>
      <c r="I219" s="678"/>
      <c r="J219" s="678"/>
      <c r="K219" s="678"/>
      <c r="L219" s="678"/>
      <c r="M219" s="678"/>
      <c r="N219" s="678"/>
      <c r="O219" s="679"/>
      <c r="P219" s="678"/>
      <c r="Q219" s="678"/>
      <c r="R219" s="678"/>
      <c r="S219" s="678"/>
      <c r="T219" s="678"/>
      <c r="U219" s="678"/>
      <c r="V219" s="678"/>
      <c r="W219" s="678"/>
      <c r="X219" s="678"/>
      <c r="Y219" s="678"/>
      <c r="Z219" s="678"/>
      <c r="AA219" s="678"/>
      <c r="AB219" s="679"/>
      <c r="AC219" s="679"/>
      <c r="AD219" s="679"/>
      <c r="AE219" s="679"/>
    </row>
    <row r="220" spans="1:37" s="674" customFormat="1" ht="13.15" customHeight="1" x14ac:dyDescent="0.2">
      <c r="A220" s="674" t="s">
        <v>250</v>
      </c>
      <c r="B220" s="681"/>
      <c r="C220" s="690">
        <f>$O220/12</f>
        <v>3750</v>
      </c>
      <c r="D220" s="690">
        <f t="shared" ref="D220:N220" si="341">$O220/12</f>
        <v>3750</v>
      </c>
      <c r="E220" s="690">
        <f t="shared" si="341"/>
        <v>3750</v>
      </c>
      <c r="F220" s="690">
        <f t="shared" si="341"/>
        <v>3750</v>
      </c>
      <c r="G220" s="690">
        <f t="shared" si="341"/>
        <v>3750</v>
      </c>
      <c r="H220" s="690">
        <f t="shared" si="341"/>
        <v>3750</v>
      </c>
      <c r="I220" s="690">
        <f t="shared" si="341"/>
        <v>3750</v>
      </c>
      <c r="J220" s="690">
        <f t="shared" si="341"/>
        <v>3750</v>
      </c>
      <c r="K220" s="690">
        <f t="shared" si="341"/>
        <v>3750</v>
      </c>
      <c r="L220" s="690">
        <f t="shared" si="341"/>
        <v>3750</v>
      </c>
      <c r="M220" s="690">
        <f t="shared" si="341"/>
        <v>3750</v>
      </c>
      <c r="N220" s="690">
        <f t="shared" si="341"/>
        <v>3750</v>
      </c>
      <c r="O220" s="689">
        <v>45000</v>
      </c>
      <c r="P220" s="690">
        <f>$AB220/12</f>
        <v>3937.5</v>
      </c>
      <c r="Q220" s="690">
        <f t="shared" ref="Q220:AA220" si="342">$AB220/12</f>
        <v>3937.5</v>
      </c>
      <c r="R220" s="690">
        <f t="shared" si="342"/>
        <v>3937.5</v>
      </c>
      <c r="S220" s="690">
        <f t="shared" si="342"/>
        <v>3937.5</v>
      </c>
      <c r="T220" s="690">
        <f t="shared" si="342"/>
        <v>3937.5</v>
      </c>
      <c r="U220" s="690">
        <f t="shared" si="342"/>
        <v>3937.5</v>
      </c>
      <c r="V220" s="690">
        <f t="shared" si="342"/>
        <v>3937.5</v>
      </c>
      <c r="W220" s="690">
        <f t="shared" si="342"/>
        <v>3937.5</v>
      </c>
      <c r="X220" s="690">
        <f t="shared" si="342"/>
        <v>3937.5</v>
      </c>
      <c r="Y220" s="690">
        <f t="shared" si="342"/>
        <v>3937.5</v>
      </c>
      <c r="Z220" s="690">
        <f t="shared" si="342"/>
        <v>3937.5</v>
      </c>
      <c r="AA220" s="690">
        <f t="shared" si="342"/>
        <v>3937.5</v>
      </c>
      <c r="AB220" s="690">
        <f>O220*(1+AB221)</f>
        <v>47250</v>
      </c>
      <c r="AC220" s="690">
        <f t="shared" ref="AC220:AJ220" si="343">AB220*(1+AC221)</f>
        <v>49612.5</v>
      </c>
      <c r="AD220" s="690">
        <f t="shared" si="343"/>
        <v>51597</v>
      </c>
      <c r="AE220" s="690">
        <f t="shared" si="343"/>
        <v>53144.91</v>
      </c>
      <c r="AF220" s="690">
        <f t="shared" si="343"/>
        <v>54207.808200000007</v>
      </c>
      <c r="AG220" s="690">
        <f t="shared" si="343"/>
        <v>54749.886282000007</v>
      </c>
      <c r="AH220" s="690">
        <f t="shared" si="343"/>
        <v>54749.886282000007</v>
      </c>
      <c r="AI220" s="690">
        <f t="shared" si="343"/>
        <v>54749.886282000007</v>
      </c>
      <c r="AJ220" s="690">
        <f t="shared" si="343"/>
        <v>54749.886282000007</v>
      </c>
    </row>
    <row r="221" spans="1:37" s="688" customFormat="1" ht="13.15" customHeight="1" x14ac:dyDescent="0.2">
      <c r="A221" s="680" t="s">
        <v>324</v>
      </c>
      <c r="B221" s="681"/>
      <c r="C221" s="687"/>
      <c r="D221" s="687"/>
      <c r="E221" s="687"/>
      <c r="F221" s="687"/>
      <c r="G221" s="687"/>
      <c r="H221" s="687"/>
      <c r="I221" s="687"/>
      <c r="J221" s="687"/>
      <c r="K221" s="687"/>
      <c r="L221" s="687"/>
      <c r="M221" s="687"/>
      <c r="N221" s="687"/>
      <c r="O221" s="692"/>
      <c r="P221" s="687"/>
      <c r="Q221" s="687"/>
      <c r="R221" s="687"/>
      <c r="S221" s="687"/>
      <c r="T221" s="687"/>
      <c r="U221" s="687"/>
      <c r="V221" s="687"/>
      <c r="W221" s="687"/>
      <c r="X221" s="687"/>
      <c r="Y221" s="687"/>
      <c r="Z221" s="687"/>
      <c r="AA221" s="687"/>
      <c r="AB221" s="687">
        <v>0.05</v>
      </c>
      <c r="AC221" s="687">
        <v>0.05</v>
      </c>
      <c r="AD221" s="687">
        <f>AC221-1%</f>
        <v>0.04</v>
      </c>
      <c r="AE221" s="687">
        <f>AD221-1%</f>
        <v>0.03</v>
      </c>
      <c r="AF221" s="687">
        <f>AE221-1%</f>
        <v>1.9999999999999997E-2</v>
      </c>
      <c r="AG221" s="687">
        <f>AF221-1%</f>
        <v>9.9999999999999967E-3</v>
      </c>
      <c r="AH221" s="687">
        <f>AG221-1%</f>
        <v>0</v>
      </c>
      <c r="AI221" s="688">
        <f>AH221</f>
        <v>0</v>
      </c>
      <c r="AJ221" s="688">
        <f>AI221</f>
        <v>0</v>
      </c>
    </row>
    <row r="222" spans="1:37" s="688" customFormat="1" ht="13.15" customHeight="1" x14ac:dyDescent="0.2">
      <c r="A222" s="680" t="s">
        <v>248</v>
      </c>
      <c r="B222" s="681"/>
      <c r="C222" s="687">
        <f t="shared" ref="C222:N222" si="344">C195</f>
        <v>0</v>
      </c>
      <c r="D222" s="687">
        <f t="shared" si="344"/>
        <v>0</v>
      </c>
      <c r="E222" s="687">
        <f t="shared" si="344"/>
        <v>0</v>
      </c>
      <c r="F222" s="687">
        <f t="shared" si="344"/>
        <v>0</v>
      </c>
      <c r="G222" s="687">
        <f t="shared" si="344"/>
        <v>0</v>
      </c>
      <c r="H222" s="687">
        <f t="shared" si="344"/>
        <v>0</v>
      </c>
      <c r="I222" s="687">
        <f t="shared" si="344"/>
        <v>0</v>
      </c>
      <c r="J222" s="687">
        <f t="shared" si="344"/>
        <v>0</v>
      </c>
      <c r="K222" s="687">
        <f t="shared" si="344"/>
        <v>0</v>
      </c>
      <c r="L222" s="687">
        <f t="shared" si="344"/>
        <v>0</v>
      </c>
      <c r="M222" s="687">
        <f t="shared" si="344"/>
        <v>0</v>
      </c>
      <c r="N222" s="687">
        <f t="shared" si="344"/>
        <v>0</v>
      </c>
      <c r="O222" s="692">
        <f>N222</f>
        <v>0</v>
      </c>
      <c r="P222" s="687">
        <f>P195</f>
        <v>0</v>
      </c>
      <c r="Q222" s="687">
        <f t="shared" ref="Q222:AA222" si="345">Q195</f>
        <v>0</v>
      </c>
      <c r="R222" s="687">
        <f t="shared" si="345"/>
        <v>0</v>
      </c>
      <c r="S222" s="687">
        <f t="shared" si="345"/>
        <v>0</v>
      </c>
      <c r="T222" s="687">
        <f t="shared" si="345"/>
        <v>0</v>
      </c>
      <c r="U222" s="687">
        <f t="shared" si="345"/>
        <v>0</v>
      </c>
      <c r="V222" s="687">
        <f t="shared" si="345"/>
        <v>0</v>
      </c>
      <c r="W222" s="687">
        <f t="shared" si="345"/>
        <v>0</v>
      </c>
      <c r="X222" s="687">
        <f t="shared" si="345"/>
        <v>0</v>
      </c>
      <c r="Y222" s="687">
        <f t="shared" si="345"/>
        <v>0</v>
      </c>
      <c r="Z222" s="687">
        <f t="shared" si="345"/>
        <v>0</v>
      </c>
      <c r="AA222" s="687">
        <f t="shared" si="345"/>
        <v>0</v>
      </c>
      <c r="AB222" s="692">
        <f>AA222</f>
        <v>0</v>
      </c>
      <c r="AC222" s="687">
        <f t="shared" ref="AC222:AJ222" si="346">AC195</f>
        <v>1.2000000000000004E-2</v>
      </c>
      <c r="AD222" s="687">
        <f t="shared" si="346"/>
        <v>2.4000000000000007E-2</v>
      </c>
      <c r="AE222" s="687">
        <f t="shared" si="346"/>
        <v>4.8000000000000015E-2</v>
      </c>
      <c r="AF222" s="687">
        <f t="shared" si="346"/>
        <v>9.600000000000003E-2</v>
      </c>
      <c r="AG222" s="687">
        <f t="shared" si="346"/>
        <v>0.12</v>
      </c>
      <c r="AH222" s="687">
        <f t="shared" si="346"/>
        <v>0.13999999999999999</v>
      </c>
      <c r="AI222" s="687">
        <f t="shared" si="346"/>
        <v>0.15999999999999998</v>
      </c>
      <c r="AJ222" s="687">
        <f t="shared" si="346"/>
        <v>0.17999999999999997</v>
      </c>
    </row>
    <row r="223" spans="1:37" s="674" customFormat="1" ht="13.15" customHeight="1" x14ac:dyDescent="0.2">
      <c r="A223" s="680" t="s">
        <v>251</v>
      </c>
      <c r="B223" s="681"/>
      <c r="C223" s="690">
        <f t="shared" ref="C223:N223" si="347">C220*C222</f>
        <v>0</v>
      </c>
      <c r="D223" s="690">
        <f t="shared" si="347"/>
        <v>0</v>
      </c>
      <c r="E223" s="690">
        <f t="shared" si="347"/>
        <v>0</v>
      </c>
      <c r="F223" s="690">
        <f t="shared" si="347"/>
        <v>0</v>
      </c>
      <c r="G223" s="690">
        <f t="shared" si="347"/>
        <v>0</v>
      </c>
      <c r="H223" s="690">
        <f t="shared" si="347"/>
        <v>0</v>
      </c>
      <c r="I223" s="690">
        <f t="shared" si="347"/>
        <v>0</v>
      </c>
      <c r="J223" s="690">
        <f t="shared" si="347"/>
        <v>0</v>
      </c>
      <c r="K223" s="690">
        <f t="shared" si="347"/>
        <v>0</v>
      </c>
      <c r="L223" s="690">
        <f t="shared" si="347"/>
        <v>0</v>
      </c>
      <c r="M223" s="690">
        <f t="shared" si="347"/>
        <v>0</v>
      </c>
      <c r="N223" s="690">
        <f t="shared" si="347"/>
        <v>0</v>
      </c>
      <c r="O223" s="683">
        <f>SUM(C223:N223)</f>
        <v>0</v>
      </c>
      <c r="P223" s="690">
        <f t="shared" ref="P223:AA223" si="348">P220*P222</f>
        <v>0</v>
      </c>
      <c r="Q223" s="690">
        <f t="shared" si="348"/>
        <v>0</v>
      </c>
      <c r="R223" s="690">
        <f t="shared" si="348"/>
        <v>0</v>
      </c>
      <c r="S223" s="690">
        <f t="shared" si="348"/>
        <v>0</v>
      </c>
      <c r="T223" s="690">
        <f t="shared" si="348"/>
        <v>0</v>
      </c>
      <c r="U223" s="690">
        <f t="shared" si="348"/>
        <v>0</v>
      </c>
      <c r="V223" s="690">
        <f t="shared" si="348"/>
        <v>0</v>
      </c>
      <c r="W223" s="690">
        <f t="shared" si="348"/>
        <v>0</v>
      </c>
      <c r="X223" s="690">
        <f t="shared" si="348"/>
        <v>0</v>
      </c>
      <c r="Y223" s="690">
        <f t="shared" si="348"/>
        <v>0</v>
      </c>
      <c r="Z223" s="690">
        <f t="shared" si="348"/>
        <v>0</v>
      </c>
      <c r="AA223" s="690">
        <f t="shared" si="348"/>
        <v>0</v>
      </c>
      <c r="AB223" s="690">
        <f>SUM(P223:AA223)</f>
        <v>0</v>
      </c>
      <c r="AC223" s="690">
        <f>AC220*AVERAGE(AA222,AC222)</f>
        <v>297.67500000000007</v>
      </c>
      <c r="AD223" s="690">
        <f t="shared" ref="AD223:AJ223" si="349">AD220*AVERAGE(AC222,AD222)</f>
        <v>928.74600000000032</v>
      </c>
      <c r="AE223" s="690">
        <f t="shared" si="349"/>
        <v>1913.2167600000007</v>
      </c>
      <c r="AF223" s="690">
        <f t="shared" si="349"/>
        <v>3902.9621904000019</v>
      </c>
      <c r="AG223" s="690">
        <f t="shared" si="349"/>
        <v>5912.9877184560019</v>
      </c>
      <c r="AH223" s="690">
        <f t="shared" si="349"/>
        <v>7117.4852166600012</v>
      </c>
      <c r="AI223" s="690">
        <f t="shared" si="349"/>
        <v>8212.4829422999992</v>
      </c>
      <c r="AJ223" s="690">
        <f t="shared" si="349"/>
        <v>9307.4806679400008</v>
      </c>
    </row>
    <row r="224" spans="1:37" s="674" customFormat="1" ht="13.15" customHeight="1" x14ac:dyDescent="0.2">
      <c r="A224" s="680" t="s">
        <v>249</v>
      </c>
      <c r="B224" s="681"/>
      <c r="C224" s="686">
        <v>1.5</v>
      </c>
      <c r="D224" s="686">
        <f t="shared" ref="D224:O224" si="350">C224</f>
        <v>1.5</v>
      </c>
      <c r="E224" s="686">
        <f t="shared" si="350"/>
        <v>1.5</v>
      </c>
      <c r="F224" s="686">
        <f t="shared" si="350"/>
        <v>1.5</v>
      </c>
      <c r="G224" s="686">
        <f t="shared" si="350"/>
        <v>1.5</v>
      </c>
      <c r="H224" s="686">
        <f t="shared" si="350"/>
        <v>1.5</v>
      </c>
      <c r="I224" s="686">
        <f t="shared" si="350"/>
        <v>1.5</v>
      </c>
      <c r="J224" s="686">
        <f t="shared" si="350"/>
        <v>1.5</v>
      </c>
      <c r="K224" s="686">
        <f t="shared" si="350"/>
        <v>1.5</v>
      </c>
      <c r="L224" s="686">
        <f t="shared" si="350"/>
        <v>1.5</v>
      </c>
      <c r="M224" s="686">
        <f t="shared" si="350"/>
        <v>1.5</v>
      </c>
      <c r="N224" s="686">
        <f t="shared" si="350"/>
        <v>1.5</v>
      </c>
      <c r="O224" s="685">
        <f t="shared" si="350"/>
        <v>1.5</v>
      </c>
      <c r="P224" s="686">
        <f>N224</f>
        <v>1.5</v>
      </c>
      <c r="Q224" s="686">
        <f t="shared" ref="Q224:AB224" si="351">P224</f>
        <v>1.5</v>
      </c>
      <c r="R224" s="686">
        <f t="shared" si="351"/>
        <v>1.5</v>
      </c>
      <c r="S224" s="686">
        <f t="shared" si="351"/>
        <v>1.5</v>
      </c>
      <c r="T224" s="686">
        <f t="shared" si="351"/>
        <v>1.5</v>
      </c>
      <c r="U224" s="686">
        <f t="shared" si="351"/>
        <v>1.5</v>
      </c>
      <c r="V224" s="686">
        <f t="shared" si="351"/>
        <v>1.5</v>
      </c>
      <c r="W224" s="686">
        <f t="shared" si="351"/>
        <v>1.5</v>
      </c>
      <c r="X224" s="686">
        <f t="shared" si="351"/>
        <v>1.5</v>
      </c>
      <c r="Y224" s="686">
        <f t="shared" si="351"/>
        <v>1.5</v>
      </c>
      <c r="Z224" s="686">
        <f t="shared" si="351"/>
        <v>1.5</v>
      </c>
      <c r="AA224" s="686">
        <f t="shared" si="351"/>
        <v>1.5</v>
      </c>
      <c r="AB224" s="686">
        <f t="shared" si="351"/>
        <v>1.5</v>
      </c>
      <c r="AC224" s="686">
        <f>AA224</f>
        <v>1.5</v>
      </c>
      <c r="AD224" s="686">
        <f t="shared" ref="AD224:AJ224" si="352">AC224</f>
        <v>1.5</v>
      </c>
      <c r="AE224" s="686">
        <f t="shared" si="352"/>
        <v>1.5</v>
      </c>
      <c r="AF224" s="686">
        <f t="shared" si="352"/>
        <v>1.5</v>
      </c>
      <c r="AG224" s="686">
        <f t="shared" si="352"/>
        <v>1.5</v>
      </c>
      <c r="AH224" s="686">
        <f t="shared" si="352"/>
        <v>1.5</v>
      </c>
      <c r="AI224" s="686">
        <f t="shared" si="352"/>
        <v>1.5</v>
      </c>
      <c r="AJ224" s="686">
        <f t="shared" si="352"/>
        <v>1.5</v>
      </c>
    </row>
    <row r="225" spans="1:36" s="674" customFormat="1" ht="13.15" customHeight="1" x14ac:dyDescent="0.2">
      <c r="A225" s="680" t="s">
        <v>255</v>
      </c>
      <c r="B225" s="681"/>
      <c r="C225" s="690">
        <f t="shared" ref="C225:N225" si="353">C223*C224</f>
        <v>0</v>
      </c>
      <c r="D225" s="690">
        <f t="shared" si="353"/>
        <v>0</v>
      </c>
      <c r="E225" s="690">
        <f t="shared" si="353"/>
        <v>0</v>
      </c>
      <c r="F225" s="690">
        <f t="shared" si="353"/>
        <v>0</v>
      </c>
      <c r="G225" s="690">
        <f t="shared" si="353"/>
        <v>0</v>
      </c>
      <c r="H225" s="690">
        <f t="shared" si="353"/>
        <v>0</v>
      </c>
      <c r="I225" s="690">
        <f t="shared" si="353"/>
        <v>0</v>
      </c>
      <c r="J225" s="690">
        <f t="shared" si="353"/>
        <v>0</v>
      </c>
      <c r="K225" s="690">
        <f t="shared" si="353"/>
        <v>0</v>
      </c>
      <c r="L225" s="690">
        <f t="shared" si="353"/>
        <v>0</v>
      </c>
      <c r="M225" s="690">
        <f t="shared" si="353"/>
        <v>0</v>
      </c>
      <c r="N225" s="690">
        <f t="shared" si="353"/>
        <v>0</v>
      </c>
      <c r="O225" s="691">
        <f>SUM(C225:N225)</f>
        <v>0</v>
      </c>
      <c r="P225" s="690">
        <f t="shared" ref="P225:AA225" si="354">P223*P224</f>
        <v>0</v>
      </c>
      <c r="Q225" s="690">
        <f t="shared" si="354"/>
        <v>0</v>
      </c>
      <c r="R225" s="690">
        <f t="shared" si="354"/>
        <v>0</v>
      </c>
      <c r="S225" s="690">
        <f t="shared" si="354"/>
        <v>0</v>
      </c>
      <c r="T225" s="690">
        <f t="shared" si="354"/>
        <v>0</v>
      </c>
      <c r="U225" s="690">
        <f t="shared" si="354"/>
        <v>0</v>
      </c>
      <c r="V225" s="690">
        <f t="shared" si="354"/>
        <v>0</v>
      </c>
      <c r="W225" s="690">
        <f t="shared" si="354"/>
        <v>0</v>
      </c>
      <c r="X225" s="690">
        <f t="shared" si="354"/>
        <v>0</v>
      </c>
      <c r="Y225" s="690">
        <f t="shared" si="354"/>
        <v>0</v>
      </c>
      <c r="Z225" s="690">
        <f t="shared" si="354"/>
        <v>0</v>
      </c>
      <c r="AA225" s="690">
        <f t="shared" si="354"/>
        <v>0</v>
      </c>
      <c r="AB225" s="691">
        <f>SUM(P225:AA225)</f>
        <v>0</v>
      </c>
      <c r="AC225" s="690">
        <f t="shared" ref="AC225:AJ225" si="355">AC223*AC224</f>
        <v>446.5125000000001</v>
      </c>
      <c r="AD225" s="690">
        <f t="shared" si="355"/>
        <v>1393.1190000000006</v>
      </c>
      <c r="AE225" s="690">
        <f t="shared" si="355"/>
        <v>2869.8251400000008</v>
      </c>
      <c r="AF225" s="690">
        <f t="shared" si="355"/>
        <v>5854.443285600003</v>
      </c>
      <c r="AG225" s="690">
        <f t="shared" si="355"/>
        <v>8869.4815776840023</v>
      </c>
      <c r="AH225" s="690">
        <f t="shared" si="355"/>
        <v>10676.227824990001</v>
      </c>
      <c r="AI225" s="690">
        <f t="shared" si="355"/>
        <v>12318.72441345</v>
      </c>
      <c r="AJ225" s="690">
        <f t="shared" si="355"/>
        <v>13961.221001910002</v>
      </c>
    </row>
    <row r="227" spans="1:36" s="674" customFormat="1" ht="13.15" customHeight="1" x14ac:dyDescent="0.2">
      <c r="A227" s="680" t="s">
        <v>253</v>
      </c>
      <c r="B227" s="681"/>
      <c r="C227" s="689">
        <v>0</v>
      </c>
      <c r="D227" s="689">
        <v>0</v>
      </c>
      <c r="E227" s="689">
        <v>0</v>
      </c>
      <c r="F227" s="689">
        <v>0</v>
      </c>
      <c r="G227" s="689">
        <v>0</v>
      </c>
      <c r="H227" s="689">
        <v>0</v>
      </c>
      <c r="I227" s="689">
        <v>0</v>
      </c>
      <c r="J227" s="689">
        <v>0</v>
      </c>
      <c r="K227" s="689">
        <v>0</v>
      </c>
      <c r="L227" s="689">
        <v>0</v>
      </c>
      <c r="M227" s="689">
        <v>0</v>
      </c>
      <c r="N227" s="689">
        <v>0</v>
      </c>
      <c r="O227" s="690">
        <f>N227</f>
        <v>0</v>
      </c>
      <c r="P227" s="689">
        <f>N227</f>
        <v>0</v>
      </c>
      <c r="Q227" s="689">
        <f t="shared" ref="Q227:AB227" si="356">P227</f>
        <v>0</v>
      </c>
      <c r="R227" s="689">
        <f t="shared" si="356"/>
        <v>0</v>
      </c>
      <c r="S227" s="689">
        <f t="shared" si="356"/>
        <v>0</v>
      </c>
      <c r="T227" s="689">
        <f t="shared" si="356"/>
        <v>0</v>
      </c>
      <c r="U227" s="689">
        <f t="shared" si="356"/>
        <v>0</v>
      </c>
      <c r="V227" s="689">
        <f t="shared" si="356"/>
        <v>0</v>
      </c>
      <c r="W227" s="689">
        <f t="shared" si="356"/>
        <v>0</v>
      </c>
      <c r="X227" s="689">
        <f t="shared" si="356"/>
        <v>0</v>
      </c>
      <c r="Y227" s="689">
        <f t="shared" si="356"/>
        <v>0</v>
      </c>
      <c r="Z227" s="689">
        <f t="shared" si="356"/>
        <v>0</v>
      </c>
      <c r="AA227" s="689">
        <f t="shared" si="356"/>
        <v>0</v>
      </c>
      <c r="AB227" s="690">
        <f t="shared" si="356"/>
        <v>0</v>
      </c>
      <c r="AC227" s="689">
        <f>AA227</f>
        <v>0</v>
      </c>
      <c r="AD227" s="689">
        <f t="shared" ref="AD227:AJ227" si="357">AC227</f>
        <v>0</v>
      </c>
      <c r="AE227" s="689">
        <f t="shared" si="357"/>
        <v>0</v>
      </c>
      <c r="AF227" s="689">
        <f t="shared" si="357"/>
        <v>0</v>
      </c>
      <c r="AG227" s="689">
        <f t="shared" si="357"/>
        <v>0</v>
      </c>
      <c r="AH227" s="689">
        <f t="shared" si="357"/>
        <v>0</v>
      </c>
      <c r="AI227" s="689">
        <f t="shared" si="357"/>
        <v>0</v>
      </c>
      <c r="AJ227" s="689">
        <f t="shared" si="357"/>
        <v>0</v>
      </c>
    </row>
    <row r="228" spans="1:36" s="674" customFormat="1" ht="13.15" customHeight="1" x14ac:dyDescent="0.2">
      <c r="A228" s="680" t="s">
        <v>252</v>
      </c>
      <c r="B228" s="681"/>
      <c r="C228" s="689">
        <f>100/12</f>
        <v>8.3333333333333339</v>
      </c>
      <c r="D228" s="689">
        <f t="shared" ref="D228:N228" si="358">100/12</f>
        <v>8.3333333333333339</v>
      </c>
      <c r="E228" s="689">
        <f t="shared" si="358"/>
        <v>8.3333333333333339</v>
      </c>
      <c r="F228" s="689">
        <f t="shared" si="358"/>
        <v>8.3333333333333339</v>
      </c>
      <c r="G228" s="689">
        <f t="shared" si="358"/>
        <v>8.3333333333333339</v>
      </c>
      <c r="H228" s="689">
        <f t="shared" si="358"/>
        <v>8.3333333333333339</v>
      </c>
      <c r="I228" s="689">
        <f t="shared" si="358"/>
        <v>8.3333333333333339</v>
      </c>
      <c r="J228" s="689">
        <f t="shared" si="358"/>
        <v>8.3333333333333339</v>
      </c>
      <c r="K228" s="689">
        <f t="shared" si="358"/>
        <v>8.3333333333333339</v>
      </c>
      <c r="L228" s="689">
        <f t="shared" si="358"/>
        <v>8.3333333333333339</v>
      </c>
      <c r="M228" s="689">
        <f t="shared" si="358"/>
        <v>8.3333333333333339</v>
      </c>
      <c r="N228" s="689">
        <f t="shared" si="358"/>
        <v>8.3333333333333339</v>
      </c>
      <c r="O228" s="683">
        <f>SUM(C228:N228)</f>
        <v>99.999999999999986</v>
      </c>
      <c r="P228" s="689">
        <f t="shared" ref="P228:AA228" si="359">100/12</f>
        <v>8.3333333333333339</v>
      </c>
      <c r="Q228" s="689">
        <f t="shared" si="359"/>
        <v>8.3333333333333339</v>
      </c>
      <c r="R228" s="689">
        <f t="shared" si="359"/>
        <v>8.3333333333333339</v>
      </c>
      <c r="S228" s="689">
        <f t="shared" si="359"/>
        <v>8.3333333333333339</v>
      </c>
      <c r="T228" s="689">
        <f t="shared" si="359"/>
        <v>8.3333333333333339</v>
      </c>
      <c r="U228" s="689">
        <f t="shared" si="359"/>
        <v>8.3333333333333339</v>
      </c>
      <c r="V228" s="689">
        <f t="shared" si="359"/>
        <v>8.3333333333333339</v>
      </c>
      <c r="W228" s="689">
        <f t="shared" si="359"/>
        <v>8.3333333333333339</v>
      </c>
      <c r="X228" s="689">
        <f t="shared" si="359"/>
        <v>8.3333333333333339</v>
      </c>
      <c r="Y228" s="689">
        <f t="shared" si="359"/>
        <v>8.3333333333333339</v>
      </c>
      <c r="Z228" s="689">
        <f t="shared" si="359"/>
        <v>8.3333333333333339</v>
      </c>
      <c r="AA228" s="689">
        <f t="shared" si="359"/>
        <v>8.3333333333333339</v>
      </c>
      <c r="AB228" s="683">
        <f>SUM(P228:AA228)</f>
        <v>99.999999999999986</v>
      </c>
      <c r="AC228" s="689">
        <v>100</v>
      </c>
      <c r="AD228" s="689">
        <v>100</v>
      </c>
      <c r="AE228" s="689">
        <v>100</v>
      </c>
      <c r="AF228" s="689">
        <v>100</v>
      </c>
      <c r="AG228" s="689">
        <v>100</v>
      </c>
      <c r="AH228" s="689">
        <v>100</v>
      </c>
      <c r="AI228" s="689">
        <v>100</v>
      </c>
      <c r="AJ228" s="689">
        <v>100</v>
      </c>
    </row>
    <row r="229" spans="1:36" s="674" customFormat="1" ht="13.15" customHeight="1" x14ac:dyDescent="0.2">
      <c r="A229" s="680" t="s">
        <v>254</v>
      </c>
      <c r="B229" s="681"/>
      <c r="C229" s="690">
        <f t="shared" ref="C229:N229" si="360">C227*C228</f>
        <v>0</v>
      </c>
      <c r="D229" s="690">
        <f t="shared" si="360"/>
        <v>0</v>
      </c>
      <c r="E229" s="690">
        <f t="shared" si="360"/>
        <v>0</v>
      </c>
      <c r="F229" s="690">
        <f t="shared" si="360"/>
        <v>0</v>
      </c>
      <c r="G229" s="690">
        <f t="shared" si="360"/>
        <v>0</v>
      </c>
      <c r="H229" s="690">
        <f t="shared" si="360"/>
        <v>0</v>
      </c>
      <c r="I229" s="690">
        <f t="shared" si="360"/>
        <v>0</v>
      </c>
      <c r="J229" s="690">
        <f t="shared" si="360"/>
        <v>0</v>
      </c>
      <c r="K229" s="690">
        <f t="shared" si="360"/>
        <v>0</v>
      </c>
      <c r="L229" s="690">
        <f t="shared" si="360"/>
        <v>0</v>
      </c>
      <c r="M229" s="690">
        <f t="shared" si="360"/>
        <v>0</v>
      </c>
      <c r="N229" s="690">
        <f t="shared" si="360"/>
        <v>0</v>
      </c>
      <c r="O229" s="683">
        <f>SUM(C229:N229)</f>
        <v>0</v>
      </c>
      <c r="P229" s="690">
        <f t="shared" ref="P229:AA229" si="361">P227*P228</f>
        <v>0</v>
      </c>
      <c r="Q229" s="690">
        <f t="shared" si="361"/>
        <v>0</v>
      </c>
      <c r="R229" s="690">
        <f t="shared" si="361"/>
        <v>0</v>
      </c>
      <c r="S229" s="690">
        <f t="shared" si="361"/>
        <v>0</v>
      </c>
      <c r="T229" s="690">
        <f t="shared" si="361"/>
        <v>0</v>
      </c>
      <c r="U229" s="690">
        <f t="shared" si="361"/>
        <v>0</v>
      </c>
      <c r="V229" s="690">
        <f t="shared" si="361"/>
        <v>0</v>
      </c>
      <c r="W229" s="690">
        <f t="shared" si="361"/>
        <v>0</v>
      </c>
      <c r="X229" s="690">
        <f t="shared" si="361"/>
        <v>0</v>
      </c>
      <c r="Y229" s="690">
        <f t="shared" si="361"/>
        <v>0</v>
      </c>
      <c r="Z229" s="690">
        <f t="shared" si="361"/>
        <v>0</v>
      </c>
      <c r="AA229" s="690">
        <f t="shared" si="361"/>
        <v>0</v>
      </c>
      <c r="AB229" s="690">
        <f>SUM(P229:AA229)</f>
        <v>0</v>
      </c>
      <c r="AC229" s="690">
        <f t="shared" ref="AC229:AJ229" si="362">AC227*AC228</f>
        <v>0</v>
      </c>
      <c r="AD229" s="690">
        <f t="shared" si="362"/>
        <v>0</v>
      </c>
      <c r="AE229" s="690">
        <f t="shared" si="362"/>
        <v>0</v>
      </c>
      <c r="AF229" s="690">
        <f t="shared" si="362"/>
        <v>0</v>
      </c>
      <c r="AG229" s="690">
        <f t="shared" si="362"/>
        <v>0</v>
      </c>
      <c r="AH229" s="690">
        <f t="shared" si="362"/>
        <v>0</v>
      </c>
      <c r="AI229" s="690">
        <f t="shared" si="362"/>
        <v>0</v>
      </c>
      <c r="AJ229" s="690">
        <f t="shared" si="362"/>
        <v>0</v>
      </c>
    </row>
    <row r="230" spans="1:36" s="674" customFormat="1" ht="13.15" customHeight="1" x14ac:dyDescent="0.2">
      <c r="A230" s="680" t="s">
        <v>249</v>
      </c>
      <c r="B230" s="681"/>
      <c r="C230" s="686">
        <f>C224</f>
        <v>1.5</v>
      </c>
      <c r="D230" s="686">
        <f t="shared" ref="D230:AJ230" si="363">D224</f>
        <v>1.5</v>
      </c>
      <c r="E230" s="686">
        <f t="shared" si="363"/>
        <v>1.5</v>
      </c>
      <c r="F230" s="686">
        <f t="shared" si="363"/>
        <v>1.5</v>
      </c>
      <c r="G230" s="686">
        <f t="shared" si="363"/>
        <v>1.5</v>
      </c>
      <c r="H230" s="686">
        <f t="shared" si="363"/>
        <v>1.5</v>
      </c>
      <c r="I230" s="686">
        <f t="shared" si="363"/>
        <v>1.5</v>
      </c>
      <c r="J230" s="686">
        <f t="shared" si="363"/>
        <v>1.5</v>
      </c>
      <c r="K230" s="686">
        <f t="shared" si="363"/>
        <v>1.5</v>
      </c>
      <c r="L230" s="686">
        <f t="shared" si="363"/>
        <v>1.5</v>
      </c>
      <c r="M230" s="686">
        <f t="shared" si="363"/>
        <v>1.5</v>
      </c>
      <c r="N230" s="686">
        <f t="shared" si="363"/>
        <v>1.5</v>
      </c>
      <c r="O230" s="686">
        <f t="shared" si="363"/>
        <v>1.5</v>
      </c>
      <c r="P230" s="686">
        <f t="shared" si="363"/>
        <v>1.5</v>
      </c>
      <c r="Q230" s="686">
        <f t="shared" si="363"/>
        <v>1.5</v>
      </c>
      <c r="R230" s="686">
        <f t="shared" si="363"/>
        <v>1.5</v>
      </c>
      <c r="S230" s="686">
        <f t="shared" si="363"/>
        <v>1.5</v>
      </c>
      <c r="T230" s="686">
        <f t="shared" si="363"/>
        <v>1.5</v>
      </c>
      <c r="U230" s="686">
        <f t="shared" si="363"/>
        <v>1.5</v>
      </c>
      <c r="V230" s="686">
        <f t="shared" si="363"/>
        <v>1.5</v>
      </c>
      <c r="W230" s="686">
        <f t="shared" si="363"/>
        <v>1.5</v>
      </c>
      <c r="X230" s="686">
        <f t="shared" si="363"/>
        <v>1.5</v>
      </c>
      <c r="Y230" s="686">
        <f t="shared" si="363"/>
        <v>1.5</v>
      </c>
      <c r="Z230" s="686">
        <f t="shared" si="363"/>
        <v>1.5</v>
      </c>
      <c r="AA230" s="686">
        <f t="shared" si="363"/>
        <v>1.5</v>
      </c>
      <c r="AB230" s="686">
        <f t="shared" si="363"/>
        <v>1.5</v>
      </c>
      <c r="AC230" s="686">
        <f t="shared" si="363"/>
        <v>1.5</v>
      </c>
      <c r="AD230" s="686">
        <f t="shared" si="363"/>
        <v>1.5</v>
      </c>
      <c r="AE230" s="686">
        <f t="shared" si="363"/>
        <v>1.5</v>
      </c>
      <c r="AF230" s="686">
        <f t="shared" si="363"/>
        <v>1.5</v>
      </c>
      <c r="AG230" s="686">
        <f t="shared" si="363"/>
        <v>1.5</v>
      </c>
      <c r="AH230" s="686">
        <f t="shared" si="363"/>
        <v>1.5</v>
      </c>
      <c r="AI230" s="686">
        <f t="shared" si="363"/>
        <v>1.5</v>
      </c>
      <c r="AJ230" s="686">
        <f t="shared" si="363"/>
        <v>1.5</v>
      </c>
    </row>
    <row r="231" spans="1:36" s="674" customFormat="1" ht="13.15" customHeight="1" x14ac:dyDescent="0.2">
      <c r="A231" s="680" t="s">
        <v>255</v>
      </c>
      <c r="B231" s="681"/>
      <c r="C231" s="690">
        <f t="shared" ref="C231:N231" si="364">C229*C230</f>
        <v>0</v>
      </c>
      <c r="D231" s="690">
        <f t="shared" si="364"/>
        <v>0</v>
      </c>
      <c r="E231" s="690">
        <f t="shared" si="364"/>
        <v>0</v>
      </c>
      <c r="F231" s="690">
        <f t="shared" si="364"/>
        <v>0</v>
      </c>
      <c r="G231" s="690">
        <f t="shared" si="364"/>
        <v>0</v>
      </c>
      <c r="H231" s="690">
        <f t="shared" si="364"/>
        <v>0</v>
      </c>
      <c r="I231" s="690">
        <f t="shared" si="364"/>
        <v>0</v>
      </c>
      <c r="J231" s="690">
        <f t="shared" si="364"/>
        <v>0</v>
      </c>
      <c r="K231" s="690">
        <f t="shared" si="364"/>
        <v>0</v>
      </c>
      <c r="L231" s="690">
        <f t="shared" si="364"/>
        <v>0</v>
      </c>
      <c r="M231" s="690">
        <f t="shared" si="364"/>
        <v>0</v>
      </c>
      <c r="N231" s="690">
        <f t="shared" si="364"/>
        <v>0</v>
      </c>
      <c r="O231" s="691">
        <f>SUM(C231:N231)</f>
        <v>0</v>
      </c>
      <c r="P231" s="690">
        <f t="shared" ref="P231:AA231" si="365">P229*P230</f>
        <v>0</v>
      </c>
      <c r="Q231" s="690">
        <f t="shared" si="365"/>
        <v>0</v>
      </c>
      <c r="R231" s="690">
        <f t="shared" si="365"/>
        <v>0</v>
      </c>
      <c r="S231" s="690">
        <f t="shared" si="365"/>
        <v>0</v>
      </c>
      <c r="T231" s="690">
        <f t="shared" si="365"/>
        <v>0</v>
      </c>
      <c r="U231" s="690">
        <f t="shared" si="365"/>
        <v>0</v>
      </c>
      <c r="V231" s="690">
        <f t="shared" si="365"/>
        <v>0</v>
      </c>
      <c r="W231" s="690">
        <f t="shared" si="365"/>
        <v>0</v>
      </c>
      <c r="X231" s="690">
        <f t="shared" si="365"/>
        <v>0</v>
      </c>
      <c r="Y231" s="690">
        <f t="shared" si="365"/>
        <v>0</v>
      </c>
      <c r="Z231" s="690">
        <f t="shared" si="365"/>
        <v>0</v>
      </c>
      <c r="AA231" s="690">
        <f t="shared" si="365"/>
        <v>0</v>
      </c>
      <c r="AB231" s="691">
        <f>SUM(P231:AA231)</f>
        <v>0</v>
      </c>
      <c r="AC231" s="690">
        <f t="shared" ref="AC231:AJ231" si="366">AC229*AC230</f>
        <v>0</v>
      </c>
      <c r="AD231" s="690">
        <f t="shared" si="366"/>
        <v>0</v>
      </c>
      <c r="AE231" s="690">
        <f t="shared" si="366"/>
        <v>0</v>
      </c>
      <c r="AF231" s="690">
        <f t="shared" si="366"/>
        <v>0</v>
      </c>
      <c r="AG231" s="690">
        <f t="shared" si="366"/>
        <v>0</v>
      </c>
      <c r="AH231" s="690">
        <f t="shared" si="366"/>
        <v>0</v>
      </c>
      <c r="AI231" s="690">
        <f t="shared" si="366"/>
        <v>0</v>
      </c>
      <c r="AJ231" s="690">
        <f t="shared" si="366"/>
        <v>0</v>
      </c>
    </row>
    <row r="232" spans="1:36" s="674" customFormat="1" ht="13.15" customHeight="1" x14ac:dyDescent="0.2">
      <c r="B232" s="681"/>
      <c r="C232" s="682"/>
      <c r="D232" s="682"/>
      <c r="E232" s="682"/>
      <c r="F232" s="682"/>
      <c r="G232" s="682"/>
      <c r="H232" s="682"/>
      <c r="I232" s="682"/>
      <c r="J232" s="682"/>
      <c r="K232" s="682"/>
      <c r="L232" s="682"/>
      <c r="M232" s="682"/>
      <c r="N232" s="682"/>
      <c r="O232" s="683"/>
      <c r="P232" s="682"/>
      <c r="Q232" s="682"/>
      <c r="R232" s="682"/>
      <c r="S232" s="682"/>
      <c r="T232" s="682"/>
      <c r="U232" s="682"/>
      <c r="V232" s="682"/>
      <c r="W232" s="682"/>
      <c r="X232" s="682"/>
      <c r="Y232" s="682"/>
      <c r="Z232" s="682"/>
      <c r="AA232" s="682"/>
      <c r="AB232" s="683"/>
      <c r="AC232" s="683"/>
      <c r="AD232" s="683"/>
      <c r="AE232" s="683"/>
    </row>
    <row r="233" spans="1:36" s="674" customFormat="1" ht="13.15" customHeight="1" x14ac:dyDescent="0.2">
      <c r="A233" s="680" t="s">
        <v>256</v>
      </c>
      <c r="B233" s="681"/>
      <c r="C233" s="689">
        <v>0</v>
      </c>
      <c r="D233" s="689">
        <v>0</v>
      </c>
      <c r="E233" s="689">
        <v>0</v>
      </c>
      <c r="F233" s="689">
        <v>0</v>
      </c>
      <c r="G233" s="689">
        <v>0</v>
      </c>
      <c r="H233" s="689">
        <v>0</v>
      </c>
      <c r="I233" s="689">
        <v>0</v>
      </c>
      <c r="J233" s="689">
        <v>0</v>
      </c>
      <c r="K233" s="689">
        <v>0</v>
      </c>
      <c r="L233" s="689">
        <v>0</v>
      </c>
      <c r="M233" s="689">
        <v>0</v>
      </c>
      <c r="N233" s="689">
        <v>0</v>
      </c>
      <c r="O233" s="690">
        <f>N233</f>
        <v>0</v>
      </c>
      <c r="P233" s="689">
        <f>N233</f>
        <v>0</v>
      </c>
      <c r="Q233" s="689">
        <f t="shared" ref="Q233:AB233" si="367">P233</f>
        <v>0</v>
      </c>
      <c r="R233" s="689">
        <f t="shared" si="367"/>
        <v>0</v>
      </c>
      <c r="S233" s="689">
        <f t="shared" si="367"/>
        <v>0</v>
      </c>
      <c r="T233" s="689">
        <f t="shared" si="367"/>
        <v>0</v>
      </c>
      <c r="U233" s="689">
        <f t="shared" si="367"/>
        <v>0</v>
      </c>
      <c r="V233" s="689">
        <f t="shared" si="367"/>
        <v>0</v>
      </c>
      <c r="W233" s="689">
        <f t="shared" si="367"/>
        <v>0</v>
      </c>
      <c r="X233" s="689">
        <f t="shared" si="367"/>
        <v>0</v>
      </c>
      <c r="Y233" s="689">
        <f t="shared" si="367"/>
        <v>0</v>
      </c>
      <c r="Z233" s="689">
        <f t="shared" si="367"/>
        <v>0</v>
      </c>
      <c r="AA233" s="689">
        <f t="shared" si="367"/>
        <v>0</v>
      </c>
      <c r="AB233" s="690">
        <f t="shared" si="367"/>
        <v>0</v>
      </c>
      <c r="AC233" s="689">
        <f>AA233</f>
        <v>0</v>
      </c>
      <c r="AD233" s="689">
        <f t="shared" ref="AD233:AJ233" si="368">AC233</f>
        <v>0</v>
      </c>
      <c r="AE233" s="689">
        <f t="shared" si="368"/>
        <v>0</v>
      </c>
      <c r="AF233" s="689">
        <f t="shared" si="368"/>
        <v>0</v>
      </c>
      <c r="AG233" s="689">
        <f t="shared" si="368"/>
        <v>0</v>
      </c>
      <c r="AH233" s="689">
        <f t="shared" si="368"/>
        <v>0</v>
      </c>
      <c r="AI233" s="689">
        <f t="shared" si="368"/>
        <v>0</v>
      </c>
      <c r="AJ233" s="689">
        <f t="shared" si="368"/>
        <v>0</v>
      </c>
    </row>
    <row r="234" spans="1:36" s="674" customFormat="1" ht="13.15" customHeight="1" x14ac:dyDescent="0.2">
      <c r="A234" s="680" t="s">
        <v>252</v>
      </c>
      <c r="B234" s="681"/>
      <c r="C234" s="689">
        <f>300/12</f>
        <v>25</v>
      </c>
      <c r="D234" s="689">
        <f t="shared" ref="D234:N234" si="369">300/12</f>
        <v>25</v>
      </c>
      <c r="E234" s="689">
        <f t="shared" si="369"/>
        <v>25</v>
      </c>
      <c r="F234" s="689">
        <f t="shared" si="369"/>
        <v>25</v>
      </c>
      <c r="G234" s="689">
        <f t="shared" si="369"/>
        <v>25</v>
      </c>
      <c r="H234" s="689">
        <f t="shared" si="369"/>
        <v>25</v>
      </c>
      <c r="I234" s="689">
        <f t="shared" si="369"/>
        <v>25</v>
      </c>
      <c r="J234" s="689">
        <f t="shared" si="369"/>
        <v>25</v>
      </c>
      <c r="K234" s="689">
        <f t="shared" si="369"/>
        <v>25</v>
      </c>
      <c r="L234" s="689">
        <f t="shared" si="369"/>
        <v>25</v>
      </c>
      <c r="M234" s="689">
        <f t="shared" si="369"/>
        <v>25</v>
      </c>
      <c r="N234" s="689">
        <f t="shared" si="369"/>
        <v>25</v>
      </c>
      <c r="O234" s="683">
        <f>SUM(C234:N234)</f>
        <v>300</v>
      </c>
      <c r="P234" s="689">
        <f>300/12</f>
        <v>25</v>
      </c>
      <c r="Q234" s="689">
        <f t="shared" ref="Q234:AA234" si="370">300/12</f>
        <v>25</v>
      </c>
      <c r="R234" s="689">
        <f t="shared" si="370"/>
        <v>25</v>
      </c>
      <c r="S234" s="689">
        <f t="shared" si="370"/>
        <v>25</v>
      </c>
      <c r="T234" s="689">
        <f t="shared" si="370"/>
        <v>25</v>
      </c>
      <c r="U234" s="689">
        <f t="shared" si="370"/>
        <v>25</v>
      </c>
      <c r="V234" s="689">
        <f t="shared" si="370"/>
        <v>25</v>
      </c>
      <c r="W234" s="689">
        <f t="shared" si="370"/>
        <v>25</v>
      </c>
      <c r="X234" s="689">
        <f t="shared" si="370"/>
        <v>25</v>
      </c>
      <c r="Y234" s="689">
        <f t="shared" si="370"/>
        <v>25</v>
      </c>
      <c r="Z234" s="689">
        <f t="shared" si="370"/>
        <v>25</v>
      </c>
      <c r="AA234" s="689">
        <f t="shared" si="370"/>
        <v>25</v>
      </c>
      <c r="AB234" s="683">
        <f>SUM(P234:AA234)</f>
        <v>300</v>
      </c>
      <c r="AC234" s="689">
        <v>300</v>
      </c>
      <c r="AD234" s="689">
        <v>300</v>
      </c>
      <c r="AE234" s="689">
        <v>300</v>
      </c>
      <c r="AF234" s="689">
        <v>300</v>
      </c>
      <c r="AG234" s="689">
        <v>300</v>
      </c>
      <c r="AH234" s="689">
        <v>300</v>
      </c>
      <c r="AI234" s="689">
        <v>300</v>
      </c>
      <c r="AJ234" s="689">
        <v>300</v>
      </c>
    </row>
    <row r="235" spans="1:36" s="674" customFormat="1" ht="13.15" customHeight="1" x14ac:dyDescent="0.2">
      <c r="A235" s="680" t="s">
        <v>254</v>
      </c>
      <c r="B235" s="681"/>
      <c r="C235" s="690">
        <f t="shared" ref="C235:N235" si="371">C233*C234</f>
        <v>0</v>
      </c>
      <c r="D235" s="690">
        <f t="shared" si="371"/>
        <v>0</v>
      </c>
      <c r="E235" s="690">
        <f t="shared" si="371"/>
        <v>0</v>
      </c>
      <c r="F235" s="690">
        <f t="shared" si="371"/>
        <v>0</v>
      </c>
      <c r="G235" s="690">
        <f t="shared" si="371"/>
        <v>0</v>
      </c>
      <c r="H235" s="690">
        <f t="shared" si="371"/>
        <v>0</v>
      </c>
      <c r="I235" s="690">
        <f t="shared" si="371"/>
        <v>0</v>
      </c>
      <c r="J235" s="690">
        <f t="shared" si="371"/>
        <v>0</v>
      </c>
      <c r="K235" s="690">
        <f t="shared" si="371"/>
        <v>0</v>
      </c>
      <c r="L235" s="690">
        <f t="shared" si="371"/>
        <v>0</v>
      </c>
      <c r="M235" s="690">
        <f t="shared" si="371"/>
        <v>0</v>
      </c>
      <c r="N235" s="690">
        <f t="shared" si="371"/>
        <v>0</v>
      </c>
      <c r="O235" s="683">
        <f>SUM(C235:N235)</f>
        <v>0</v>
      </c>
      <c r="P235" s="690">
        <f t="shared" ref="P235:AA235" si="372">P233*P234</f>
        <v>0</v>
      </c>
      <c r="Q235" s="690">
        <f t="shared" si="372"/>
        <v>0</v>
      </c>
      <c r="R235" s="690">
        <f t="shared" si="372"/>
        <v>0</v>
      </c>
      <c r="S235" s="690">
        <f t="shared" si="372"/>
        <v>0</v>
      </c>
      <c r="T235" s="690">
        <f t="shared" si="372"/>
        <v>0</v>
      </c>
      <c r="U235" s="690">
        <f t="shared" si="372"/>
        <v>0</v>
      </c>
      <c r="V235" s="690">
        <f t="shared" si="372"/>
        <v>0</v>
      </c>
      <c r="W235" s="690">
        <f t="shared" si="372"/>
        <v>0</v>
      </c>
      <c r="X235" s="690">
        <f t="shared" si="372"/>
        <v>0</v>
      </c>
      <c r="Y235" s="690">
        <f t="shared" si="372"/>
        <v>0</v>
      </c>
      <c r="Z235" s="690">
        <f t="shared" si="372"/>
        <v>0</v>
      </c>
      <c r="AA235" s="690">
        <f t="shared" si="372"/>
        <v>0</v>
      </c>
      <c r="AB235" s="683">
        <f>SUM(P235:AA235)</f>
        <v>0</v>
      </c>
      <c r="AC235" s="690">
        <f t="shared" ref="AC235:AJ235" si="373">AC233*AC234</f>
        <v>0</v>
      </c>
      <c r="AD235" s="690">
        <f t="shared" si="373"/>
        <v>0</v>
      </c>
      <c r="AE235" s="690">
        <f t="shared" si="373"/>
        <v>0</v>
      </c>
      <c r="AF235" s="690">
        <f t="shared" si="373"/>
        <v>0</v>
      </c>
      <c r="AG235" s="690">
        <f t="shared" si="373"/>
        <v>0</v>
      </c>
      <c r="AH235" s="690">
        <f t="shared" si="373"/>
        <v>0</v>
      </c>
      <c r="AI235" s="690">
        <f t="shared" si="373"/>
        <v>0</v>
      </c>
      <c r="AJ235" s="690">
        <f t="shared" si="373"/>
        <v>0</v>
      </c>
    </row>
    <row r="236" spans="1:36" s="674" customFormat="1" ht="13.15" customHeight="1" x14ac:dyDescent="0.2">
      <c r="A236" s="680" t="s">
        <v>249</v>
      </c>
      <c r="B236" s="681"/>
      <c r="C236" s="686">
        <f>C224</f>
        <v>1.5</v>
      </c>
      <c r="D236" s="686">
        <f t="shared" ref="D236:AJ236" si="374">D224</f>
        <v>1.5</v>
      </c>
      <c r="E236" s="686">
        <f t="shared" si="374"/>
        <v>1.5</v>
      </c>
      <c r="F236" s="686">
        <f t="shared" si="374"/>
        <v>1.5</v>
      </c>
      <c r="G236" s="686">
        <f t="shared" si="374"/>
        <v>1.5</v>
      </c>
      <c r="H236" s="686">
        <f t="shared" si="374"/>
        <v>1.5</v>
      </c>
      <c r="I236" s="686">
        <f t="shared" si="374"/>
        <v>1.5</v>
      </c>
      <c r="J236" s="686">
        <f t="shared" si="374"/>
        <v>1.5</v>
      </c>
      <c r="K236" s="686">
        <f t="shared" si="374"/>
        <v>1.5</v>
      </c>
      <c r="L236" s="686">
        <f t="shared" si="374"/>
        <v>1.5</v>
      </c>
      <c r="M236" s="686">
        <f t="shared" si="374"/>
        <v>1.5</v>
      </c>
      <c r="N236" s="686">
        <f t="shared" si="374"/>
        <v>1.5</v>
      </c>
      <c r="O236" s="686">
        <f t="shared" si="374"/>
        <v>1.5</v>
      </c>
      <c r="P236" s="686">
        <f t="shared" si="374"/>
        <v>1.5</v>
      </c>
      <c r="Q236" s="686">
        <f t="shared" si="374"/>
        <v>1.5</v>
      </c>
      <c r="R236" s="686">
        <f t="shared" si="374"/>
        <v>1.5</v>
      </c>
      <c r="S236" s="686">
        <f t="shared" si="374"/>
        <v>1.5</v>
      </c>
      <c r="T236" s="686">
        <f t="shared" si="374"/>
        <v>1.5</v>
      </c>
      <c r="U236" s="686">
        <f t="shared" si="374"/>
        <v>1.5</v>
      </c>
      <c r="V236" s="686">
        <f t="shared" si="374"/>
        <v>1.5</v>
      </c>
      <c r="W236" s="686">
        <f t="shared" si="374"/>
        <v>1.5</v>
      </c>
      <c r="X236" s="686">
        <f t="shared" si="374"/>
        <v>1.5</v>
      </c>
      <c r="Y236" s="686">
        <f t="shared" si="374"/>
        <v>1.5</v>
      </c>
      <c r="Z236" s="686">
        <f t="shared" si="374"/>
        <v>1.5</v>
      </c>
      <c r="AA236" s="686">
        <f t="shared" si="374"/>
        <v>1.5</v>
      </c>
      <c r="AB236" s="686">
        <f t="shared" si="374"/>
        <v>1.5</v>
      </c>
      <c r="AC236" s="686">
        <f t="shared" si="374"/>
        <v>1.5</v>
      </c>
      <c r="AD236" s="686">
        <f t="shared" si="374"/>
        <v>1.5</v>
      </c>
      <c r="AE236" s="686">
        <f t="shared" si="374"/>
        <v>1.5</v>
      </c>
      <c r="AF236" s="686">
        <f t="shared" si="374"/>
        <v>1.5</v>
      </c>
      <c r="AG236" s="686">
        <f t="shared" si="374"/>
        <v>1.5</v>
      </c>
      <c r="AH236" s="686">
        <f t="shared" si="374"/>
        <v>1.5</v>
      </c>
      <c r="AI236" s="686">
        <f t="shared" si="374"/>
        <v>1.5</v>
      </c>
      <c r="AJ236" s="686">
        <f t="shared" si="374"/>
        <v>1.5</v>
      </c>
    </row>
    <row r="237" spans="1:36" s="674" customFormat="1" ht="13.15" customHeight="1" x14ac:dyDescent="0.2">
      <c r="A237" s="680" t="s">
        <v>255</v>
      </c>
      <c r="B237" s="681"/>
      <c r="C237" s="690">
        <f t="shared" ref="C237:N237" si="375">C235*C236</f>
        <v>0</v>
      </c>
      <c r="D237" s="690">
        <f t="shared" si="375"/>
        <v>0</v>
      </c>
      <c r="E237" s="690">
        <f t="shared" si="375"/>
        <v>0</v>
      </c>
      <c r="F237" s="690">
        <f t="shared" si="375"/>
        <v>0</v>
      </c>
      <c r="G237" s="690">
        <f t="shared" si="375"/>
        <v>0</v>
      </c>
      <c r="H237" s="690">
        <f t="shared" si="375"/>
        <v>0</v>
      </c>
      <c r="I237" s="690">
        <f t="shared" si="375"/>
        <v>0</v>
      </c>
      <c r="J237" s="690">
        <f t="shared" si="375"/>
        <v>0</v>
      </c>
      <c r="K237" s="690">
        <f t="shared" si="375"/>
        <v>0</v>
      </c>
      <c r="L237" s="690">
        <f t="shared" si="375"/>
        <v>0</v>
      </c>
      <c r="M237" s="690">
        <f t="shared" si="375"/>
        <v>0</v>
      </c>
      <c r="N237" s="690">
        <f t="shared" si="375"/>
        <v>0</v>
      </c>
      <c r="O237" s="691">
        <f>SUM(C237:N237)</f>
        <v>0</v>
      </c>
      <c r="P237" s="690">
        <f t="shared" ref="P237:AA237" si="376">P235*P236</f>
        <v>0</v>
      </c>
      <c r="Q237" s="690">
        <f t="shared" si="376"/>
        <v>0</v>
      </c>
      <c r="R237" s="690">
        <f t="shared" si="376"/>
        <v>0</v>
      </c>
      <c r="S237" s="690">
        <f t="shared" si="376"/>
        <v>0</v>
      </c>
      <c r="T237" s="690">
        <f t="shared" si="376"/>
        <v>0</v>
      </c>
      <c r="U237" s="690">
        <f t="shared" si="376"/>
        <v>0</v>
      </c>
      <c r="V237" s="690">
        <f t="shared" si="376"/>
        <v>0</v>
      </c>
      <c r="W237" s="690">
        <f t="shared" si="376"/>
        <v>0</v>
      </c>
      <c r="X237" s="690">
        <f t="shared" si="376"/>
        <v>0</v>
      </c>
      <c r="Y237" s="690">
        <f t="shared" si="376"/>
        <v>0</v>
      </c>
      <c r="Z237" s="690">
        <f t="shared" si="376"/>
        <v>0</v>
      </c>
      <c r="AA237" s="690">
        <f t="shared" si="376"/>
        <v>0</v>
      </c>
      <c r="AB237" s="691">
        <f>SUM(P237:AA237)</f>
        <v>0</v>
      </c>
      <c r="AC237" s="690">
        <f t="shared" ref="AC237:AJ237" si="377">AC235*AC236</f>
        <v>0</v>
      </c>
      <c r="AD237" s="690">
        <f t="shared" si="377"/>
        <v>0</v>
      </c>
      <c r="AE237" s="690">
        <f t="shared" si="377"/>
        <v>0</v>
      </c>
      <c r="AF237" s="690">
        <f t="shared" si="377"/>
        <v>0</v>
      </c>
      <c r="AG237" s="690">
        <f t="shared" si="377"/>
        <v>0</v>
      </c>
      <c r="AH237" s="690">
        <f t="shared" si="377"/>
        <v>0</v>
      </c>
      <c r="AI237" s="690">
        <f t="shared" si="377"/>
        <v>0</v>
      </c>
      <c r="AJ237" s="690">
        <f t="shared" si="377"/>
        <v>0</v>
      </c>
    </row>
    <row r="238" spans="1:36" s="674" customFormat="1" ht="13.15" customHeight="1" x14ac:dyDescent="0.2">
      <c r="A238" s="680"/>
      <c r="B238" s="681"/>
      <c r="C238" s="682"/>
      <c r="D238" s="682"/>
      <c r="E238" s="682"/>
      <c r="F238" s="682"/>
      <c r="G238" s="682"/>
      <c r="H238" s="682"/>
      <c r="I238" s="682"/>
      <c r="J238" s="682"/>
      <c r="K238" s="682"/>
      <c r="L238" s="682"/>
      <c r="M238" s="682"/>
      <c r="N238" s="682"/>
      <c r="O238" s="683"/>
      <c r="P238" s="682"/>
      <c r="Q238" s="682"/>
      <c r="R238" s="682"/>
      <c r="S238" s="682"/>
      <c r="T238" s="682"/>
      <c r="U238" s="682"/>
      <c r="V238" s="682"/>
      <c r="W238" s="682"/>
      <c r="X238" s="682"/>
      <c r="Y238" s="682"/>
      <c r="Z238" s="682"/>
      <c r="AA238" s="682"/>
      <c r="AB238" s="683"/>
      <c r="AC238" s="683"/>
      <c r="AD238" s="683"/>
      <c r="AE238" s="683"/>
    </row>
    <row r="239" spans="1:36" s="684" customFormat="1" ht="13.15" customHeight="1" x14ac:dyDescent="0.2">
      <c r="A239" s="676" t="s">
        <v>257</v>
      </c>
      <c r="B239" s="677"/>
      <c r="C239" s="694">
        <f>C225+C231+C237</f>
        <v>0</v>
      </c>
      <c r="D239" s="694">
        <f t="shared" ref="D239:N239" si="378">D225+D231+D237</f>
        <v>0</v>
      </c>
      <c r="E239" s="694">
        <f t="shared" si="378"/>
        <v>0</v>
      </c>
      <c r="F239" s="694">
        <f t="shared" si="378"/>
        <v>0</v>
      </c>
      <c r="G239" s="694">
        <f t="shared" si="378"/>
        <v>0</v>
      </c>
      <c r="H239" s="694">
        <f t="shared" si="378"/>
        <v>0</v>
      </c>
      <c r="I239" s="694">
        <f t="shared" si="378"/>
        <v>0</v>
      </c>
      <c r="J239" s="694">
        <f t="shared" si="378"/>
        <v>0</v>
      </c>
      <c r="K239" s="694">
        <f t="shared" si="378"/>
        <v>0</v>
      </c>
      <c r="L239" s="694">
        <f t="shared" si="378"/>
        <v>0</v>
      </c>
      <c r="M239" s="694">
        <f t="shared" si="378"/>
        <v>0</v>
      </c>
      <c r="N239" s="694">
        <f t="shared" si="378"/>
        <v>0</v>
      </c>
      <c r="O239" s="679">
        <f>SUM(C239:N239)</f>
        <v>0</v>
      </c>
      <c r="P239" s="694">
        <f t="shared" ref="P239:AA239" si="379">P225+P231+P237</f>
        <v>0</v>
      </c>
      <c r="Q239" s="694">
        <f t="shared" si="379"/>
        <v>0</v>
      </c>
      <c r="R239" s="694">
        <f t="shared" si="379"/>
        <v>0</v>
      </c>
      <c r="S239" s="694">
        <f t="shared" si="379"/>
        <v>0</v>
      </c>
      <c r="T239" s="694">
        <f t="shared" si="379"/>
        <v>0</v>
      </c>
      <c r="U239" s="694">
        <f t="shared" si="379"/>
        <v>0</v>
      </c>
      <c r="V239" s="694">
        <f t="shared" si="379"/>
        <v>0</v>
      </c>
      <c r="W239" s="694">
        <f t="shared" si="379"/>
        <v>0</v>
      </c>
      <c r="X239" s="694">
        <f t="shared" si="379"/>
        <v>0</v>
      </c>
      <c r="Y239" s="694">
        <f t="shared" si="379"/>
        <v>0</v>
      </c>
      <c r="Z239" s="694">
        <f t="shared" si="379"/>
        <v>0</v>
      </c>
      <c r="AA239" s="694">
        <f t="shared" si="379"/>
        <v>0</v>
      </c>
      <c r="AB239" s="694">
        <f>SUM(P239:AA239)</f>
        <v>0</v>
      </c>
      <c r="AC239" s="694">
        <f t="shared" ref="AC239:AJ239" si="380">AC225+AC231+AC237</f>
        <v>446.5125000000001</v>
      </c>
      <c r="AD239" s="694">
        <f t="shared" si="380"/>
        <v>1393.1190000000006</v>
      </c>
      <c r="AE239" s="694">
        <f t="shared" si="380"/>
        <v>2869.8251400000008</v>
      </c>
      <c r="AF239" s="694">
        <f t="shared" si="380"/>
        <v>5854.443285600003</v>
      </c>
      <c r="AG239" s="694">
        <f t="shared" si="380"/>
        <v>8869.4815776840023</v>
      </c>
      <c r="AH239" s="694">
        <f t="shared" si="380"/>
        <v>10676.227824990001</v>
      </c>
      <c r="AI239" s="694">
        <f t="shared" si="380"/>
        <v>12318.72441345</v>
      </c>
      <c r="AJ239" s="694">
        <f t="shared" si="380"/>
        <v>13961.221001910002</v>
      </c>
    </row>
    <row r="240" spans="1:36" s="674" customFormat="1" ht="13.15" customHeight="1" x14ac:dyDescent="0.2">
      <c r="A240" s="680"/>
      <c r="B240" s="681"/>
      <c r="C240" s="682"/>
      <c r="D240" s="682"/>
      <c r="E240" s="682"/>
      <c r="F240" s="682"/>
      <c r="G240" s="682"/>
      <c r="H240" s="682"/>
      <c r="I240" s="682"/>
      <c r="J240" s="682"/>
      <c r="K240" s="682"/>
      <c r="L240" s="682"/>
      <c r="M240" s="682"/>
      <c r="N240" s="682"/>
      <c r="O240" s="683"/>
      <c r="P240" s="682"/>
      <c r="Q240" s="682"/>
      <c r="R240" s="682"/>
      <c r="S240" s="682"/>
      <c r="T240" s="682"/>
      <c r="U240" s="682"/>
      <c r="V240" s="682"/>
      <c r="W240" s="682"/>
      <c r="X240" s="682"/>
      <c r="Y240" s="682"/>
      <c r="Z240" s="682"/>
      <c r="AA240" s="682"/>
      <c r="AB240" s="683"/>
      <c r="AC240" s="683"/>
      <c r="AD240" s="683"/>
      <c r="AE240" s="683"/>
    </row>
    <row r="241" spans="1:37" s="674" customFormat="1" ht="13.15" customHeight="1" x14ac:dyDescent="0.2">
      <c r="A241" s="680" t="s">
        <v>258</v>
      </c>
      <c r="B241" s="681"/>
      <c r="C241" s="767">
        <f>C$25</f>
        <v>300</v>
      </c>
      <c r="D241" s="767">
        <f t="shared" ref="D241:AJ241" si="381">D$25</f>
        <v>300</v>
      </c>
      <c r="E241" s="767">
        <f t="shared" si="381"/>
        <v>300</v>
      </c>
      <c r="F241" s="767">
        <f t="shared" si="381"/>
        <v>300</v>
      </c>
      <c r="G241" s="767">
        <f t="shared" si="381"/>
        <v>300</v>
      </c>
      <c r="H241" s="767">
        <f t="shared" si="381"/>
        <v>300</v>
      </c>
      <c r="I241" s="767">
        <f t="shared" si="381"/>
        <v>300</v>
      </c>
      <c r="J241" s="767">
        <f t="shared" si="381"/>
        <v>300</v>
      </c>
      <c r="K241" s="767">
        <f t="shared" si="381"/>
        <v>300</v>
      </c>
      <c r="L241" s="767">
        <f t="shared" si="381"/>
        <v>300</v>
      </c>
      <c r="M241" s="767">
        <f t="shared" si="381"/>
        <v>300</v>
      </c>
      <c r="N241" s="767">
        <f t="shared" si="381"/>
        <v>300</v>
      </c>
      <c r="O241" s="767">
        <f t="shared" si="381"/>
        <v>300</v>
      </c>
      <c r="P241" s="767">
        <f t="shared" si="381"/>
        <v>300</v>
      </c>
      <c r="Q241" s="767">
        <f t="shared" si="381"/>
        <v>300</v>
      </c>
      <c r="R241" s="767">
        <f t="shared" si="381"/>
        <v>300</v>
      </c>
      <c r="S241" s="767">
        <f t="shared" si="381"/>
        <v>300</v>
      </c>
      <c r="T241" s="767">
        <f t="shared" si="381"/>
        <v>300</v>
      </c>
      <c r="U241" s="767">
        <f t="shared" si="381"/>
        <v>300</v>
      </c>
      <c r="V241" s="767">
        <f t="shared" si="381"/>
        <v>300</v>
      </c>
      <c r="W241" s="767">
        <f t="shared" si="381"/>
        <v>300</v>
      </c>
      <c r="X241" s="767">
        <f t="shared" si="381"/>
        <v>300</v>
      </c>
      <c r="Y241" s="767">
        <f t="shared" si="381"/>
        <v>300</v>
      </c>
      <c r="Z241" s="767">
        <f t="shared" si="381"/>
        <v>300</v>
      </c>
      <c r="AA241" s="767">
        <f t="shared" si="381"/>
        <v>300</v>
      </c>
      <c r="AB241" s="767">
        <f t="shared" si="381"/>
        <v>300</v>
      </c>
      <c r="AC241" s="767">
        <f t="shared" si="381"/>
        <v>300</v>
      </c>
      <c r="AD241" s="767">
        <f t="shared" si="381"/>
        <v>300</v>
      </c>
      <c r="AE241" s="767">
        <f t="shared" si="381"/>
        <v>300</v>
      </c>
      <c r="AF241" s="767">
        <f t="shared" si="381"/>
        <v>300</v>
      </c>
      <c r="AG241" s="767">
        <f t="shared" si="381"/>
        <v>300</v>
      </c>
      <c r="AH241" s="767">
        <f t="shared" si="381"/>
        <v>300</v>
      </c>
      <c r="AI241" s="767">
        <f t="shared" si="381"/>
        <v>300</v>
      </c>
      <c r="AJ241" s="767">
        <f t="shared" si="381"/>
        <v>300</v>
      </c>
      <c r="AK241" s="693"/>
    </row>
    <row r="242" spans="1:37" s="674" customFormat="1" ht="13.15" customHeight="1" x14ac:dyDescent="0.2">
      <c r="A242" s="680"/>
      <c r="B242" s="681"/>
      <c r="C242" s="682"/>
      <c r="D242" s="682"/>
      <c r="E242" s="682"/>
      <c r="F242" s="682"/>
      <c r="G242" s="682"/>
      <c r="H242" s="682"/>
      <c r="I242" s="682"/>
      <c r="J242" s="682"/>
      <c r="K242" s="682"/>
      <c r="L242" s="682"/>
      <c r="M242" s="682"/>
      <c r="N242" s="682"/>
      <c r="O242" s="683"/>
      <c r="P242" s="682"/>
      <c r="Q242" s="682"/>
      <c r="R242" s="682"/>
      <c r="S242" s="682"/>
      <c r="T242" s="682"/>
      <c r="U242" s="682"/>
      <c r="V242" s="682"/>
      <c r="W242" s="682"/>
      <c r="X242" s="682"/>
      <c r="Y242" s="682"/>
      <c r="Z242" s="682"/>
      <c r="AA242" s="682"/>
      <c r="AB242" s="683"/>
      <c r="AC242" s="683"/>
      <c r="AD242" s="683"/>
      <c r="AE242" s="683"/>
    </row>
    <row r="243" spans="1:37" s="766" customFormat="1" ht="13.15" customHeight="1" x14ac:dyDescent="0.2">
      <c r="A243" s="763" t="s">
        <v>422</v>
      </c>
      <c r="B243" s="764"/>
      <c r="C243" s="765">
        <f>C239*C241</f>
        <v>0</v>
      </c>
      <c r="D243" s="765">
        <f t="shared" ref="D243:N243" si="382">D239*D241</f>
        <v>0</v>
      </c>
      <c r="E243" s="765">
        <f t="shared" si="382"/>
        <v>0</v>
      </c>
      <c r="F243" s="765">
        <f t="shared" si="382"/>
        <v>0</v>
      </c>
      <c r="G243" s="765">
        <f t="shared" si="382"/>
        <v>0</v>
      </c>
      <c r="H243" s="765">
        <f t="shared" si="382"/>
        <v>0</v>
      </c>
      <c r="I243" s="765">
        <f t="shared" si="382"/>
        <v>0</v>
      </c>
      <c r="J243" s="765">
        <f t="shared" si="382"/>
        <v>0</v>
      </c>
      <c r="K243" s="765">
        <f t="shared" si="382"/>
        <v>0</v>
      </c>
      <c r="L243" s="765">
        <f t="shared" si="382"/>
        <v>0</v>
      </c>
      <c r="M243" s="765">
        <f t="shared" si="382"/>
        <v>0</v>
      </c>
      <c r="N243" s="765">
        <f t="shared" si="382"/>
        <v>0</v>
      </c>
      <c r="O243" s="765">
        <f>SUM(C243:N243)</f>
        <v>0</v>
      </c>
      <c r="P243" s="765">
        <f>P239*P241</f>
        <v>0</v>
      </c>
      <c r="Q243" s="765">
        <f t="shared" ref="Q243:AA243" si="383">Q239*Q241</f>
        <v>0</v>
      </c>
      <c r="R243" s="765">
        <f t="shared" si="383"/>
        <v>0</v>
      </c>
      <c r="S243" s="765">
        <f t="shared" si="383"/>
        <v>0</v>
      </c>
      <c r="T243" s="765">
        <f t="shared" si="383"/>
        <v>0</v>
      </c>
      <c r="U243" s="765">
        <f t="shared" si="383"/>
        <v>0</v>
      </c>
      <c r="V243" s="765">
        <f t="shared" si="383"/>
        <v>0</v>
      </c>
      <c r="W243" s="765">
        <f t="shared" si="383"/>
        <v>0</v>
      </c>
      <c r="X243" s="765">
        <f t="shared" si="383"/>
        <v>0</v>
      </c>
      <c r="Y243" s="765">
        <f t="shared" si="383"/>
        <v>0</v>
      </c>
      <c r="Z243" s="765">
        <f t="shared" si="383"/>
        <v>0</v>
      </c>
      <c r="AA243" s="765">
        <f t="shared" si="383"/>
        <v>0</v>
      </c>
      <c r="AB243" s="765">
        <f>SUM(P243:AA243)</f>
        <v>0</v>
      </c>
      <c r="AC243" s="765">
        <f t="shared" ref="AC243:AJ243" si="384">AC239*AC241</f>
        <v>133953.75000000003</v>
      </c>
      <c r="AD243" s="765">
        <f t="shared" si="384"/>
        <v>417935.70000000019</v>
      </c>
      <c r="AE243" s="765">
        <f t="shared" si="384"/>
        <v>860947.54200000025</v>
      </c>
      <c r="AF243" s="765">
        <f t="shared" si="384"/>
        <v>1756332.9856800009</v>
      </c>
      <c r="AG243" s="765">
        <f t="shared" si="384"/>
        <v>2660844.4733052007</v>
      </c>
      <c r="AH243" s="765">
        <f t="shared" si="384"/>
        <v>3202868.3474970004</v>
      </c>
      <c r="AI243" s="765">
        <f t="shared" si="384"/>
        <v>3695617.3240350001</v>
      </c>
      <c r="AJ243" s="765">
        <f t="shared" si="384"/>
        <v>4188366.3005730007</v>
      </c>
    </row>
    <row r="244" spans="1:37" s="674" customFormat="1" ht="13.15" customHeight="1" x14ac:dyDescent="0.2">
      <c r="A244" s="680"/>
      <c r="B244" s="681"/>
      <c r="C244" s="682"/>
      <c r="D244" s="682"/>
      <c r="E244" s="682"/>
      <c r="F244" s="682"/>
      <c r="G244" s="682"/>
      <c r="H244" s="682"/>
      <c r="I244" s="682"/>
      <c r="J244" s="682"/>
      <c r="K244" s="682"/>
      <c r="L244" s="682"/>
      <c r="M244" s="682"/>
      <c r="N244" s="682"/>
      <c r="O244" s="683"/>
      <c r="P244" s="682"/>
      <c r="Q244" s="682"/>
      <c r="R244" s="682"/>
      <c r="S244" s="682"/>
      <c r="T244" s="682"/>
      <c r="U244" s="682"/>
      <c r="V244" s="682"/>
      <c r="W244" s="682"/>
      <c r="X244" s="682"/>
      <c r="Y244" s="682"/>
      <c r="Z244" s="682"/>
      <c r="AA244" s="682"/>
      <c r="AB244" s="683"/>
      <c r="AC244" s="683"/>
      <c r="AD244" s="683"/>
      <c r="AE244" s="683"/>
    </row>
    <row r="245" spans="1:37" s="674" customFormat="1" ht="13.15" customHeight="1" x14ac:dyDescent="0.2">
      <c r="A245" s="680"/>
      <c r="B245" s="681"/>
      <c r="C245" s="682"/>
      <c r="D245" s="682"/>
      <c r="E245" s="682"/>
      <c r="F245" s="682"/>
      <c r="G245" s="682"/>
      <c r="H245" s="682"/>
      <c r="I245" s="682"/>
      <c r="J245" s="682"/>
      <c r="K245" s="682"/>
      <c r="L245" s="682"/>
      <c r="M245" s="682"/>
      <c r="N245" s="682"/>
      <c r="O245" s="683"/>
      <c r="P245" s="682"/>
      <c r="Q245" s="682"/>
      <c r="R245" s="682"/>
      <c r="S245" s="682"/>
      <c r="T245" s="682"/>
      <c r="U245" s="682"/>
      <c r="V245" s="682"/>
      <c r="W245" s="682"/>
      <c r="X245" s="682"/>
      <c r="Y245" s="682"/>
      <c r="Z245" s="682"/>
      <c r="AA245" s="682"/>
      <c r="AB245" s="683"/>
      <c r="AC245" s="683"/>
      <c r="AD245" s="683"/>
      <c r="AE245" s="683"/>
    </row>
    <row r="246" spans="1:37" s="674" customFormat="1" ht="13.15" customHeight="1" x14ac:dyDescent="0.2">
      <c r="A246" s="676" t="s">
        <v>449</v>
      </c>
      <c r="B246" s="677"/>
      <c r="C246" s="678"/>
      <c r="D246" s="678"/>
      <c r="E246" s="678"/>
      <c r="F246" s="678"/>
      <c r="G246" s="678"/>
      <c r="H246" s="678"/>
      <c r="I246" s="678"/>
      <c r="J246" s="678"/>
      <c r="K246" s="678"/>
      <c r="L246" s="678"/>
      <c r="M246" s="678"/>
      <c r="N246" s="678"/>
      <c r="O246" s="679"/>
      <c r="P246" s="678"/>
      <c r="Q246" s="678"/>
      <c r="R246" s="678"/>
      <c r="S246" s="678"/>
      <c r="T246" s="678"/>
      <c r="U246" s="678"/>
      <c r="V246" s="678"/>
      <c r="W246" s="678"/>
      <c r="X246" s="678"/>
      <c r="Y246" s="678"/>
      <c r="Z246" s="678"/>
      <c r="AA246" s="678"/>
      <c r="AB246" s="679"/>
      <c r="AC246" s="679"/>
      <c r="AD246" s="679"/>
      <c r="AE246" s="679"/>
    </row>
    <row r="247" spans="1:37" s="674" customFormat="1" ht="13.15" customHeight="1" x14ac:dyDescent="0.2">
      <c r="A247" s="674" t="s">
        <v>250</v>
      </c>
      <c r="B247" s="681"/>
      <c r="C247" s="690">
        <f>$O247/12</f>
        <v>1958.3333333333333</v>
      </c>
      <c r="D247" s="690">
        <f t="shared" ref="D247:N247" si="385">$O247/12</f>
        <v>1958.3333333333333</v>
      </c>
      <c r="E247" s="690">
        <f t="shared" si="385"/>
        <v>1958.3333333333333</v>
      </c>
      <c r="F247" s="690">
        <f t="shared" si="385"/>
        <v>1958.3333333333333</v>
      </c>
      <c r="G247" s="690">
        <f t="shared" si="385"/>
        <v>1958.3333333333333</v>
      </c>
      <c r="H247" s="690">
        <f t="shared" si="385"/>
        <v>1958.3333333333333</v>
      </c>
      <c r="I247" s="690">
        <f t="shared" si="385"/>
        <v>1958.3333333333333</v>
      </c>
      <c r="J247" s="690">
        <f t="shared" si="385"/>
        <v>1958.3333333333333</v>
      </c>
      <c r="K247" s="690">
        <f t="shared" si="385"/>
        <v>1958.3333333333333</v>
      </c>
      <c r="L247" s="690">
        <f t="shared" si="385"/>
        <v>1958.3333333333333</v>
      </c>
      <c r="M247" s="690">
        <f t="shared" si="385"/>
        <v>1958.3333333333333</v>
      </c>
      <c r="N247" s="690">
        <f t="shared" si="385"/>
        <v>1958.3333333333333</v>
      </c>
      <c r="O247" s="689">
        <v>23500</v>
      </c>
      <c r="P247" s="690">
        <f>$AB247/12</f>
        <v>2056.25</v>
      </c>
      <c r="Q247" s="690">
        <f t="shared" ref="Q247:AA247" si="386">$AB247/12</f>
        <v>2056.25</v>
      </c>
      <c r="R247" s="690">
        <f t="shared" si="386"/>
        <v>2056.25</v>
      </c>
      <c r="S247" s="690">
        <f t="shared" si="386"/>
        <v>2056.25</v>
      </c>
      <c r="T247" s="690">
        <f t="shared" si="386"/>
        <v>2056.25</v>
      </c>
      <c r="U247" s="690">
        <f t="shared" si="386"/>
        <v>2056.25</v>
      </c>
      <c r="V247" s="690">
        <f t="shared" si="386"/>
        <v>2056.25</v>
      </c>
      <c r="W247" s="690">
        <f t="shared" si="386"/>
        <v>2056.25</v>
      </c>
      <c r="X247" s="690">
        <f t="shared" si="386"/>
        <v>2056.25</v>
      </c>
      <c r="Y247" s="690">
        <f t="shared" si="386"/>
        <v>2056.25</v>
      </c>
      <c r="Z247" s="690">
        <f t="shared" si="386"/>
        <v>2056.25</v>
      </c>
      <c r="AA247" s="690">
        <f t="shared" si="386"/>
        <v>2056.25</v>
      </c>
      <c r="AB247" s="690">
        <f>O247*(1+AB248)</f>
        <v>24675</v>
      </c>
      <c r="AC247" s="690">
        <f t="shared" ref="AC247:AJ247" si="387">AB247*(1+AC248)</f>
        <v>25908.75</v>
      </c>
      <c r="AD247" s="690">
        <f t="shared" si="387"/>
        <v>26945.100000000002</v>
      </c>
      <c r="AE247" s="690">
        <f t="shared" si="387"/>
        <v>27753.453000000001</v>
      </c>
      <c r="AF247" s="690">
        <f t="shared" si="387"/>
        <v>28308.522060000003</v>
      </c>
      <c r="AG247" s="690">
        <f t="shared" si="387"/>
        <v>28591.607280600005</v>
      </c>
      <c r="AH247" s="690">
        <f t="shared" si="387"/>
        <v>28591.607280600005</v>
      </c>
      <c r="AI247" s="690">
        <f t="shared" si="387"/>
        <v>28591.607280600005</v>
      </c>
      <c r="AJ247" s="690">
        <f t="shared" si="387"/>
        <v>28591.607280600005</v>
      </c>
    </row>
    <row r="248" spans="1:37" s="688" customFormat="1" ht="13.15" customHeight="1" x14ac:dyDescent="0.2">
      <c r="A248" s="680" t="s">
        <v>324</v>
      </c>
      <c r="B248" s="681"/>
      <c r="C248" s="687"/>
      <c r="D248" s="687"/>
      <c r="E248" s="687"/>
      <c r="F248" s="687"/>
      <c r="G248" s="687"/>
      <c r="H248" s="687"/>
      <c r="I248" s="687"/>
      <c r="J248" s="687"/>
      <c r="K248" s="687"/>
      <c r="L248" s="687"/>
      <c r="M248" s="687"/>
      <c r="N248" s="687"/>
      <c r="O248" s="692"/>
      <c r="P248" s="687"/>
      <c r="Q248" s="687"/>
      <c r="R248" s="687"/>
      <c r="S248" s="687"/>
      <c r="T248" s="687"/>
      <c r="U248" s="687"/>
      <c r="V248" s="687"/>
      <c r="W248" s="687"/>
      <c r="X248" s="687"/>
      <c r="Y248" s="687"/>
      <c r="Z248" s="687"/>
      <c r="AA248" s="687"/>
      <c r="AB248" s="687">
        <v>0.05</v>
      </c>
      <c r="AC248" s="687">
        <v>0.05</v>
      </c>
      <c r="AD248" s="687">
        <f>AC248-1%</f>
        <v>0.04</v>
      </c>
      <c r="AE248" s="687">
        <f>AD248-1%</f>
        <v>0.03</v>
      </c>
      <c r="AF248" s="687">
        <f>AE248-1%</f>
        <v>1.9999999999999997E-2</v>
      </c>
      <c r="AG248" s="687">
        <f>AF248-1%</f>
        <v>9.9999999999999967E-3</v>
      </c>
      <c r="AH248" s="687">
        <f>AG248-1%</f>
        <v>0</v>
      </c>
      <c r="AI248" s="688">
        <f>AH248</f>
        <v>0</v>
      </c>
      <c r="AJ248" s="688">
        <f>AI248</f>
        <v>0</v>
      </c>
    </row>
    <row r="249" spans="1:37" s="688" customFormat="1" ht="13.15" customHeight="1" x14ac:dyDescent="0.2">
      <c r="A249" s="680" t="s">
        <v>248</v>
      </c>
      <c r="B249" s="681"/>
      <c r="C249" s="687">
        <f t="shared" ref="C249:N249" si="388">C222</f>
        <v>0</v>
      </c>
      <c r="D249" s="687">
        <f t="shared" si="388"/>
        <v>0</v>
      </c>
      <c r="E249" s="687">
        <f t="shared" si="388"/>
        <v>0</v>
      </c>
      <c r="F249" s="687">
        <f t="shared" si="388"/>
        <v>0</v>
      </c>
      <c r="G249" s="687">
        <f t="shared" si="388"/>
        <v>0</v>
      </c>
      <c r="H249" s="687">
        <f t="shared" si="388"/>
        <v>0</v>
      </c>
      <c r="I249" s="687">
        <f t="shared" si="388"/>
        <v>0</v>
      </c>
      <c r="J249" s="687">
        <f t="shared" si="388"/>
        <v>0</v>
      </c>
      <c r="K249" s="687">
        <f t="shared" si="388"/>
        <v>0</v>
      </c>
      <c r="L249" s="687">
        <f t="shared" si="388"/>
        <v>0</v>
      </c>
      <c r="M249" s="687">
        <f t="shared" si="388"/>
        <v>0</v>
      </c>
      <c r="N249" s="687">
        <f t="shared" si="388"/>
        <v>0</v>
      </c>
      <c r="O249" s="692">
        <f>N249</f>
        <v>0</v>
      </c>
      <c r="P249" s="687">
        <v>0</v>
      </c>
      <c r="Q249" s="687">
        <f t="shared" ref="Q249:AB249" si="389">P249</f>
        <v>0</v>
      </c>
      <c r="R249" s="687">
        <f t="shared" si="389"/>
        <v>0</v>
      </c>
      <c r="S249" s="687">
        <f t="shared" si="389"/>
        <v>0</v>
      </c>
      <c r="T249" s="687">
        <f t="shared" si="389"/>
        <v>0</v>
      </c>
      <c r="U249" s="687">
        <f t="shared" si="389"/>
        <v>0</v>
      </c>
      <c r="V249" s="687">
        <f t="shared" si="389"/>
        <v>0</v>
      </c>
      <c r="W249" s="687">
        <f t="shared" si="389"/>
        <v>0</v>
      </c>
      <c r="X249" s="687">
        <f t="shared" si="389"/>
        <v>0</v>
      </c>
      <c r="Y249" s="687">
        <f t="shared" si="389"/>
        <v>0</v>
      </c>
      <c r="Z249" s="687">
        <f t="shared" si="389"/>
        <v>0</v>
      </c>
      <c r="AA249" s="687">
        <f t="shared" si="389"/>
        <v>0</v>
      </c>
      <c r="AB249" s="692">
        <f t="shared" si="389"/>
        <v>0</v>
      </c>
      <c r="AC249" s="687">
        <f>AB87</f>
        <v>6.0000000000000001E-3</v>
      </c>
      <c r="AD249" s="687">
        <f t="shared" ref="AD249:AJ249" si="390">AC87</f>
        <v>1.7999999999999999E-2</v>
      </c>
      <c r="AE249" s="687">
        <f t="shared" si="390"/>
        <v>3.5999999999999997E-2</v>
      </c>
      <c r="AF249" s="687">
        <f t="shared" si="390"/>
        <v>7.1999999999999995E-2</v>
      </c>
      <c r="AG249" s="687">
        <f t="shared" si="390"/>
        <v>0.11</v>
      </c>
      <c r="AH249" s="687">
        <f t="shared" si="390"/>
        <v>0.13</v>
      </c>
      <c r="AI249" s="687">
        <f t="shared" si="390"/>
        <v>0.15</v>
      </c>
      <c r="AJ249" s="687">
        <f t="shared" si="390"/>
        <v>0.16999999999999998</v>
      </c>
    </row>
    <row r="250" spans="1:37" s="674" customFormat="1" ht="13.15" customHeight="1" x14ac:dyDescent="0.2">
      <c r="A250" s="680" t="s">
        <v>251</v>
      </c>
      <c r="B250" s="681"/>
      <c r="C250" s="690">
        <f t="shared" ref="C250:N250" si="391">C247*C249</f>
        <v>0</v>
      </c>
      <c r="D250" s="690">
        <f t="shared" si="391"/>
        <v>0</v>
      </c>
      <c r="E250" s="690">
        <f t="shared" si="391"/>
        <v>0</v>
      </c>
      <c r="F250" s="690">
        <f t="shared" si="391"/>
        <v>0</v>
      </c>
      <c r="G250" s="690">
        <f t="shared" si="391"/>
        <v>0</v>
      </c>
      <c r="H250" s="690">
        <f t="shared" si="391"/>
        <v>0</v>
      </c>
      <c r="I250" s="690">
        <f t="shared" si="391"/>
        <v>0</v>
      </c>
      <c r="J250" s="690">
        <f t="shared" si="391"/>
        <v>0</v>
      </c>
      <c r="K250" s="690">
        <f t="shared" si="391"/>
        <v>0</v>
      </c>
      <c r="L250" s="690">
        <f t="shared" si="391"/>
        <v>0</v>
      </c>
      <c r="M250" s="690">
        <f t="shared" si="391"/>
        <v>0</v>
      </c>
      <c r="N250" s="690">
        <f t="shared" si="391"/>
        <v>0</v>
      </c>
      <c r="O250" s="683">
        <f>SUM(C250:N250)</f>
        <v>0</v>
      </c>
      <c r="P250" s="690">
        <f t="shared" ref="P250:AA250" si="392">P247*P249</f>
        <v>0</v>
      </c>
      <c r="Q250" s="690">
        <f t="shared" si="392"/>
        <v>0</v>
      </c>
      <c r="R250" s="690">
        <f t="shared" si="392"/>
        <v>0</v>
      </c>
      <c r="S250" s="690">
        <f t="shared" si="392"/>
        <v>0</v>
      </c>
      <c r="T250" s="690">
        <f t="shared" si="392"/>
        <v>0</v>
      </c>
      <c r="U250" s="690">
        <f t="shared" si="392"/>
        <v>0</v>
      </c>
      <c r="V250" s="690">
        <f t="shared" si="392"/>
        <v>0</v>
      </c>
      <c r="W250" s="690">
        <f t="shared" si="392"/>
        <v>0</v>
      </c>
      <c r="X250" s="690">
        <f t="shared" si="392"/>
        <v>0</v>
      </c>
      <c r="Y250" s="690">
        <f t="shared" si="392"/>
        <v>0</v>
      </c>
      <c r="Z250" s="690">
        <f t="shared" si="392"/>
        <v>0</v>
      </c>
      <c r="AA250" s="690">
        <f t="shared" si="392"/>
        <v>0</v>
      </c>
      <c r="AB250" s="690">
        <f>SUM(P250:AA250)</f>
        <v>0</v>
      </c>
      <c r="AC250" s="690">
        <f>AC247*AVERAGE(AA249,AC249)</f>
        <v>77.726250000000007</v>
      </c>
      <c r="AD250" s="690">
        <f t="shared" ref="AD250:AJ250" si="393">AD247*AVERAGE(AC249,AD249)</f>
        <v>323.34120000000001</v>
      </c>
      <c r="AE250" s="690">
        <f t="shared" si="393"/>
        <v>749.34323099999995</v>
      </c>
      <c r="AF250" s="690">
        <f t="shared" si="393"/>
        <v>1528.6601912399999</v>
      </c>
      <c r="AG250" s="690">
        <f t="shared" si="393"/>
        <v>2601.8362625346003</v>
      </c>
      <c r="AH250" s="690">
        <f t="shared" si="393"/>
        <v>3430.9928736720003</v>
      </c>
      <c r="AI250" s="690">
        <f t="shared" si="393"/>
        <v>4002.825019284001</v>
      </c>
      <c r="AJ250" s="690">
        <f t="shared" si="393"/>
        <v>4574.6571648959998</v>
      </c>
    </row>
    <row r="251" spans="1:37" s="674" customFormat="1" ht="13.15" customHeight="1" x14ac:dyDescent="0.2">
      <c r="A251" s="680" t="s">
        <v>249</v>
      </c>
      <c r="B251" s="681"/>
      <c r="C251" s="686">
        <v>2.5</v>
      </c>
      <c r="D251" s="686">
        <f t="shared" ref="D251:O251" si="394">C251</f>
        <v>2.5</v>
      </c>
      <c r="E251" s="686">
        <f t="shared" si="394"/>
        <v>2.5</v>
      </c>
      <c r="F251" s="686">
        <f t="shared" si="394"/>
        <v>2.5</v>
      </c>
      <c r="G251" s="686">
        <f t="shared" si="394"/>
        <v>2.5</v>
      </c>
      <c r="H251" s="686">
        <f t="shared" si="394"/>
        <v>2.5</v>
      </c>
      <c r="I251" s="686">
        <f t="shared" si="394"/>
        <v>2.5</v>
      </c>
      <c r="J251" s="686">
        <f t="shared" si="394"/>
        <v>2.5</v>
      </c>
      <c r="K251" s="686">
        <f t="shared" si="394"/>
        <v>2.5</v>
      </c>
      <c r="L251" s="686">
        <f t="shared" si="394"/>
        <v>2.5</v>
      </c>
      <c r="M251" s="686">
        <f t="shared" si="394"/>
        <v>2.5</v>
      </c>
      <c r="N251" s="686">
        <f t="shared" si="394"/>
        <v>2.5</v>
      </c>
      <c r="O251" s="685">
        <f t="shared" si="394"/>
        <v>2.5</v>
      </c>
      <c r="P251" s="686">
        <f>N251</f>
        <v>2.5</v>
      </c>
      <c r="Q251" s="686">
        <f t="shared" ref="Q251:AB251" si="395">P251</f>
        <v>2.5</v>
      </c>
      <c r="R251" s="686">
        <f t="shared" si="395"/>
        <v>2.5</v>
      </c>
      <c r="S251" s="686">
        <f t="shared" si="395"/>
        <v>2.5</v>
      </c>
      <c r="T251" s="686">
        <f t="shared" si="395"/>
        <v>2.5</v>
      </c>
      <c r="U251" s="686">
        <f t="shared" si="395"/>
        <v>2.5</v>
      </c>
      <c r="V251" s="686">
        <f t="shared" si="395"/>
        <v>2.5</v>
      </c>
      <c r="W251" s="686">
        <f t="shared" si="395"/>
        <v>2.5</v>
      </c>
      <c r="X251" s="686">
        <f t="shared" si="395"/>
        <v>2.5</v>
      </c>
      <c r="Y251" s="686">
        <f t="shared" si="395"/>
        <v>2.5</v>
      </c>
      <c r="Z251" s="686">
        <f t="shared" si="395"/>
        <v>2.5</v>
      </c>
      <c r="AA251" s="686">
        <f t="shared" si="395"/>
        <v>2.5</v>
      </c>
      <c r="AB251" s="686">
        <f t="shared" si="395"/>
        <v>2.5</v>
      </c>
      <c r="AC251" s="686">
        <f>AA251</f>
        <v>2.5</v>
      </c>
      <c r="AD251" s="686">
        <f t="shared" ref="AD251:AJ251" si="396">AC251</f>
        <v>2.5</v>
      </c>
      <c r="AE251" s="686">
        <f t="shared" si="396"/>
        <v>2.5</v>
      </c>
      <c r="AF251" s="686">
        <f t="shared" si="396"/>
        <v>2.5</v>
      </c>
      <c r="AG251" s="686">
        <f t="shared" si="396"/>
        <v>2.5</v>
      </c>
      <c r="AH251" s="686">
        <f t="shared" si="396"/>
        <v>2.5</v>
      </c>
      <c r="AI251" s="686">
        <f t="shared" si="396"/>
        <v>2.5</v>
      </c>
      <c r="AJ251" s="686">
        <f t="shared" si="396"/>
        <v>2.5</v>
      </c>
    </row>
    <row r="252" spans="1:37" s="674" customFormat="1" ht="13.15" customHeight="1" x14ac:dyDescent="0.2">
      <c r="A252" s="680" t="s">
        <v>255</v>
      </c>
      <c r="B252" s="681"/>
      <c r="C252" s="690">
        <f t="shared" ref="C252:N252" si="397">C250*C251</f>
        <v>0</v>
      </c>
      <c r="D252" s="690">
        <f t="shared" si="397"/>
        <v>0</v>
      </c>
      <c r="E252" s="690">
        <f t="shared" si="397"/>
        <v>0</v>
      </c>
      <c r="F252" s="690">
        <f t="shared" si="397"/>
        <v>0</v>
      </c>
      <c r="G252" s="690">
        <f t="shared" si="397"/>
        <v>0</v>
      </c>
      <c r="H252" s="690">
        <f t="shared" si="397"/>
        <v>0</v>
      </c>
      <c r="I252" s="690">
        <f t="shared" si="397"/>
        <v>0</v>
      </c>
      <c r="J252" s="690">
        <f t="shared" si="397"/>
        <v>0</v>
      </c>
      <c r="K252" s="690">
        <f t="shared" si="397"/>
        <v>0</v>
      </c>
      <c r="L252" s="690">
        <f t="shared" si="397"/>
        <v>0</v>
      </c>
      <c r="M252" s="690">
        <f t="shared" si="397"/>
        <v>0</v>
      </c>
      <c r="N252" s="690">
        <f t="shared" si="397"/>
        <v>0</v>
      </c>
      <c r="O252" s="691">
        <f>SUM(C252:N252)</f>
        <v>0</v>
      </c>
      <c r="P252" s="690">
        <f t="shared" ref="P252:AA252" si="398">P250*P251</f>
        <v>0</v>
      </c>
      <c r="Q252" s="690">
        <f t="shared" si="398"/>
        <v>0</v>
      </c>
      <c r="R252" s="690">
        <f t="shared" si="398"/>
        <v>0</v>
      </c>
      <c r="S252" s="690">
        <f t="shared" si="398"/>
        <v>0</v>
      </c>
      <c r="T252" s="690">
        <f t="shared" si="398"/>
        <v>0</v>
      </c>
      <c r="U252" s="690">
        <f t="shared" si="398"/>
        <v>0</v>
      </c>
      <c r="V252" s="690">
        <f t="shared" si="398"/>
        <v>0</v>
      </c>
      <c r="W252" s="690">
        <f t="shared" si="398"/>
        <v>0</v>
      </c>
      <c r="X252" s="690">
        <f t="shared" si="398"/>
        <v>0</v>
      </c>
      <c r="Y252" s="690">
        <f t="shared" si="398"/>
        <v>0</v>
      </c>
      <c r="Z252" s="690">
        <f t="shared" si="398"/>
        <v>0</v>
      </c>
      <c r="AA252" s="690">
        <f t="shared" si="398"/>
        <v>0</v>
      </c>
      <c r="AB252" s="691">
        <f>SUM(P252:AA252)</f>
        <v>0</v>
      </c>
      <c r="AC252" s="690">
        <f t="shared" ref="AC252:AJ252" si="399">AC250*AC251</f>
        <v>194.31562500000001</v>
      </c>
      <c r="AD252" s="690">
        <f t="shared" si="399"/>
        <v>808.35300000000007</v>
      </c>
      <c r="AE252" s="690">
        <f t="shared" si="399"/>
        <v>1873.3580774999998</v>
      </c>
      <c r="AF252" s="690">
        <f t="shared" si="399"/>
        <v>3821.6504780999999</v>
      </c>
      <c r="AG252" s="690">
        <f t="shared" si="399"/>
        <v>6504.5906563365006</v>
      </c>
      <c r="AH252" s="690">
        <f t="shared" si="399"/>
        <v>8577.4821841800003</v>
      </c>
      <c r="AI252" s="690">
        <f t="shared" si="399"/>
        <v>10007.062548210002</v>
      </c>
      <c r="AJ252" s="690">
        <f t="shared" si="399"/>
        <v>11436.64291224</v>
      </c>
    </row>
    <row r="254" spans="1:37" s="674" customFormat="1" ht="13.15" customHeight="1" x14ac:dyDescent="0.2">
      <c r="A254" s="680" t="s">
        <v>253</v>
      </c>
      <c r="B254" s="681"/>
      <c r="C254" s="689">
        <v>0</v>
      </c>
      <c r="D254" s="689">
        <v>0</v>
      </c>
      <c r="E254" s="689">
        <v>0</v>
      </c>
      <c r="F254" s="689">
        <v>0</v>
      </c>
      <c r="G254" s="689">
        <v>0</v>
      </c>
      <c r="H254" s="689">
        <v>0</v>
      </c>
      <c r="I254" s="689">
        <v>0</v>
      </c>
      <c r="J254" s="689">
        <v>0</v>
      </c>
      <c r="K254" s="689">
        <v>0</v>
      </c>
      <c r="L254" s="689">
        <v>0</v>
      </c>
      <c r="M254" s="689">
        <v>0</v>
      </c>
      <c r="N254" s="689">
        <v>0</v>
      </c>
      <c r="O254" s="690">
        <f>N254</f>
        <v>0</v>
      </c>
      <c r="P254" s="689">
        <f>N254</f>
        <v>0</v>
      </c>
      <c r="Q254" s="689">
        <f t="shared" ref="Q254:AB254" si="400">P254</f>
        <v>0</v>
      </c>
      <c r="R254" s="689">
        <f t="shared" si="400"/>
        <v>0</v>
      </c>
      <c r="S254" s="689">
        <f t="shared" si="400"/>
        <v>0</v>
      </c>
      <c r="T254" s="689">
        <f t="shared" si="400"/>
        <v>0</v>
      </c>
      <c r="U254" s="689">
        <f t="shared" si="400"/>
        <v>0</v>
      </c>
      <c r="V254" s="689">
        <f t="shared" si="400"/>
        <v>0</v>
      </c>
      <c r="W254" s="689">
        <f t="shared" si="400"/>
        <v>0</v>
      </c>
      <c r="X254" s="689">
        <f t="shared" si="400"/>
        <v>0</v>
      </c>
      <c r="Y254" s="689">
        <f t="shared" si="400"/>
        <v>0</v>
      </c>
      <c r="Z254" s="689">
        <f t="shared" si="400"/>
        <v>0</v>
      </c>
      <c r="AA254" s="689">
        <f t="shared" si="400"/>
        <v>0</v>
      </c>
      <c r="AB254" s="690">
        <f t="shared" si="400"/>
        <v>0</v>
      </c>
      <c r="AC254" s="689">
        <f>AA254</f>
        <v>0</v>
      </c>
      <c r="AD254" s="689">
        <f t="shared" ref="AD254:AJ254" si="401">AC254</f>
        <v>0</v>
      </c>
      <c r="AE254" s="689">
        <f t="shared" si="401"/>
        <v>0</v>
      </c>
      <c r="AF254" s="689">
        <f t="shared" si="401"/>
        <v>0</v>
      </c>
      <c r="AG254" s="689">
        <f t="shared" si="401"/>
        <v>0</v>
      </c>
      <c r="AH254" s="689">
        <f t="shared" si="401"/>
        <v>0</v>
      </c>
      <c r="AI254" s="689">
        <f t="shared" si="401"/>
        <v>0</v>
      </c>
      <c r="AJ254" s="689">
        <f t="shared" si="401"/>
        <v>0</v>
      </c>
    </row>
    <row r="255" spans="1:37" s="674" customFormat="1" ht="13.15" customHeight="1" x14ac:dyDescent="0.2">
      <c r="A255" s="680" t="s">
        <v>252</v>
      </c>
      <c r="B255" s="681"/>
      <c r="C255" s="689">
        <f>100/12</f>
        <v>8.3333333333333339</v>
      </c>
      <c r="D255" s="689">
        <f t="shared" ref="D255:N255" si="402">100/12</f>
        <v>8.3333333333333339</v>
      </c>
      <c r="E255" s="689">
        <f t="shared" si="402"/>
        <v>8.3333333333333339</v>
      </c>
      <c r="F255" s="689">
        <f t="shared" si="402"/>
        <v>8.3333333333333339</v>
      </c>
      <c r="G255" s="689">
        <f t="shared" si="402"/>
        <v>8.3333333333333339</v>
      </c>
      <c r="H255" s="689">
        <f t="shared" si="402"/>
        <v>8.3333333333333339</v>
      </c>
      <c r="I255" s="689">
        <f t="shared" si="402"/>
        <v>8.3333333333333339</v>
      </c>
      <c r="J255" s="689">
        <f t="shared" si="402"/>
        <v>8.3333333333333339</v>
      </c>
      <c r="K255" s="689">
        <f t="shared" si="402"/>
        <v>8.3333333333333339</v>
      </c>
      <c r="L255" s="689">
        <f t="shared" si="402"/>
        <v>8.3333333333333339</v>
      </c>
      <c r="M255" s="689">
        <f t="shared" si="402"/>
        <v>8.3333333333333339</v>
      </c>
      <c r="N255" s="689">
        <f t="shared" si="402"/>
        <v>8.3333333333333339</v>
      </c>
      <c r="O255" s="683">
        <f>SUM(C255:N255)</f>
        <v>99.999999999999986</v>
      </c>
      <c r="P255" s="689">
        <f t="shared" ref="P255:AA255" si="403">100/12</f>
        <v>8.3333333333333339</v>
      </c>
      <c r="Q255" s="689">
        <f t="shared" si="403"/>
        <v>8.3333333333333339</v>
      </c>
      <c r="R255" s="689">
        <f t="shared" si="403"/>
        <v>8.3333333333333339</v>
      </c>
      <c r="S255" s="689">
        <f t="shared" si="403"/>
        <v>8.3333333333333339</v>
      </c>
      <c r="T255" s="689">
        <f t="shared" si="403"/>
        <v>8.3333333333333339</v>
      </c>
      <c r="U255" s="689">
        <f t="shared" si="403"/>
        <v>8.3333333333333339</v>
      </c>
      <c r="V255" s="689">
        <f t="shared" si="403"/>
        <v>8.3333333333333339</v>
      </c>
      <c r="W255" s="689">
        <f t="shared" si="403"/>
        <v>8.3333333333333339</v>
      </c>
      <c r="X255" s="689">
        <f t="shared" si="403"/>
        <v>8.3333333333333339</v>
      </c>
      <c r="Y255" s="689">
        <f t="shared" si="403"/>
        <v>8.3333333333333339</v>
      </c>
      <c r="Z255" s="689">
        <f t="shared" si="403"/>
        <v>8.3333333333333339</v>
      </c>
      <c r="AA255" s="689">
        <f t="shared" si="403"/>
        <v>8.3333333333333339</v>
      </c>
      <c r="AB255" s="683">
        <f>SUM(P255:AA255)</f>
        <v>99.999999999999986</v>
      </c>
      <c r="AC255" s="689">
        <v>100</v>
      </c>
      <c r="AD255" s="689">
        <v>100</v>
      </c>
      <c r="AE255" s="689">
        <v>100</v>
      </c>
      <c r="AF255" s="689">
        <v>100</v>
      </c>
      <c r="AG255" s="689">
        <v>100</v>
      </c>
      <c r="AH255" s="689">
        <v>100</v>
      </c>
      <c r="AI255" s="689">
        <v>100</v>
      </c>
      <c r="AJ255" s="689">
        <v>100</v>
      </c>
    </row>
    <row r="256" spans="1:37" s="674" customFormat="1" ht="13.15" customHeight="1" x14ac:dyDescent="0.2">
      <c r="A256" s="680" t="s">
        <v>254</v>
      </c>
      <c r="B256" s="681"/>
      <c r="C256" s="690">
        <f t="shared" ref="C256:N256" si="404">C254*C255</f>
        <v>0</v>
      </c>
      <c r="D256" s="690">
        <f t="shared" si="404"/>
        <v>0</v>
      </c>
      <c r="E256" s="690">
        <f t="shared" si="404"/>
        <v>0</v>
      </c>
      <c r="F256" s="690">
        <f t="shared" si="404"/>
        <v>0</v>
      </c>
      <c r="G256" s="690">
        <f t="shared" si="404"/>
        <v>0</v>
      </c>
      <c r="H256" s="690">
        <f t="shared" si="404"/>
        <v>0</v>
      </c>
      <c r="I256" s="690">
        <f t="shared" si="404"/>
        <v>0</v>
      </c>
      <c r="J256" s="690">
        <f t="shared" si="404"/>
        <v>0</v>
      </c>
      <c r="K256" s="690">
        <f t="shared" si="404"/>
        <v>0</v>
      </c>
      <c r="L256" s="690">
        <f t="shared" si="404"/>
        <v>0</v>
      </c>
      <c r="M256" s="690">
        <f t="shared" si="404"/>
        <v>0</v>
      </c>
      <c r="N256" s="690">
        <f t="shared" si="404"/>
        <v>0</v>
      </c>
      <c r="O256" s="683">
        <f>SUM(C256:N256)</f>
        <v>0</v>
      </c>
      <c r="P256" s="690">
        <f t="shared" ref="P256:AA256" si="405">P254*P255</f>
        <v>0</v>
      </c>
      <c r="Q256" s="690">
        <f t="shared" si="405"/>
        <v>0</v>
      </c>
      <c r="R256" s="690">
        <f t="shared" si="405"/>
        <v>0</v>
      </c>
      <c r="S256" s="690">
        <f t="shared" si="405"/>
        <v>0</v>
      </c>
      <c r="T256" s="690">
        <f t="shared" si="405"/>
        <v>0</v>
      </c>
      <c r="U256" s="690">
        <f t="shared" si="405"/>
        <v>0</v>
      </c>
      <c r="V256" s="690">
        <f t="shared" si="405"/>
        <v>0</v>
      </c>
      <c r="W256" s="690">
        <f t="shared" si="405"/>
        <v>0</v>
      </c>
      <c r="X256" s="690">
        <f t="shared" si="405"/>
        <v>0</v>
      </c>
      <c r="Y256" s="690">
        <f t="shared" si="405"/>
        <v>0</v>
      </c>
      <c r="Z256" s="690">
        <f t="shared" si="405"/>
        <v>0</v>
      </c>
      <c r="AA256" s="690">
        <f t="shared" si="405"/>
        <v>0</v>
      </c>
      <c r="AB256" s="690">
        <f>SUM(P256:AA256)</f>
        <v>0</v>
      </c>
      <c r="AC256" s="690">
        <f t="shared" ref="AC256:AJ256" si="406">AC254*AC255</f>
        <v>0</v>
      </c>
      <c r="AD256" s="690">
        <f t="shared" si="406"/>
        <v>0</v>
      </c>
      <c r="AE256" s="690">
        <f t="shared" si="406"/>
        <v>0</v>
      </c>
      <c r="AF256" s="690">
        <f t="shared" si="406"/>
        <v>0</v>
      </c>
      <c r="AG256" s="690">
        <f t="shared" si="406"/>
        <v>0</v>
      </c>
      <c r="AH256" s="690">
        <f t="shared" si="406"/>
        <v>0</v>
      </c>
      <c r="AI256" s="690">
        <f t="shared" si="406"/>
        <v>0</v>
      </c>
      <c r="AJ256" s="690">
        <f t="shared" si="406"/>
        <v>0</v>
      </c>
    </row>
    <row r="257" spans="1:37" s="674" customFormat="1" ht="13.15" customHeight="1" x14ac:dyDescent="0.2">
      <c r="A257" s="680" t="s">
        <v>249</v>
      </c>
      <c r="B257" s="681"/>
      <c r="C257" s="686">
        <f>C251</f>
        <v>2.5</v>
      </c>
      <c r="D257" s="686">
        <f t="shared" ref="D257:AJ257" si="407">D251</f>
        <v>2.5</v>
      </c>
      <c r="E257" s="686">
        <f t="shared" si="407"/>
        <v>2.5</v>
      </c>
      <c r="F257" s="686">
        <f t="shared" si="407"/>
        <v>2.5</v>
      </c>
      <c r="G257" s="686">
        <f t="shared" si="407"/>
        <v>2.5</v>
      </c>
      <c r="H257" s="686">
        <f t="shared" si="407"/>
        <v>2.5</v>
      </c>
      <c r="I257" s="686">
        <f t="shared" si="407"/>
        <v>2.5</v>
      </c>
      <c r="J257" s="686">
        <f t="shared" si="407"/>
        <v>2.5</v>
      </c>
      <c r="K257" s="686">
        <f t="shared" si="407"/>
        <v>2.5</v>
      </c>
      <c r="L257" s="686">
        <f t="shared" si="407"/>
        <v>2.5</v>
      </c>
      <c r="M257" s="686">
        <f t="shared" si="407"/>
        <v>2.5</v>
      </c>
      <c r="N257" s="686">
        <f t="shared" si="407"/>
        <v>2.5</v>
      </c>
      <c r="O257" s="686">
        <f t="shared" si="407"/>
        <v>2.5</v>
      </c>
      <c r="P257" s="686">
        <f t="shared" si="407"/>
        <v>2.5</v>
      </c>
      <c r="Q257" s="686">
        <f t="shared" si="407"/>
        <v>2.5</v>
      </c>
      <c r="R257" s="686">
        <f t="shared" si="407"/>
        <v>2.5</v>
      </c>
      <c r="S257" s="686">
        <f t="shared" si="407"/>
        <v>2.5</v>
      </c>
      <c r="T257" s="686">
        <f t="shared" si="407"/>
        <v>2.5</v>
      </c>
      <c r="U257" s="686">
        <f t="shared" si="407"/>
        <v>2.5</v>
      </c>
      <c r="V257" s="686">
        <f t="shared" si="407"/>
        <v>2.5</v>
      </c>
      <c r="W257" s="686">
        <f t="shared" si="407"/>
        <v>2.5</v>
      </c>
      <c r="X257" s="686">
        <f t="shared" si="407"/>
        <v>2.5</v>
      </c>
      <c r="Y257" s="686">
        <f t="shared" si="407"/>
        <v>2.5</v>
      </c>
      <c r="Z257" s="686">
        <f t="shared" si="407"/>
        <v>2.5</v>
      </c>
      <c r="AA257" s="686">
        <f t="shared" si="407"/>
        <v>2.5</v>
      </c>
      <c r="AB257" s="686">
        <f t="shared" si="407"/>
        <v>2.5</v>
      </c>
      <c r="AC257" s="686">
        <f t="shared" si="407"/>
        <v>2.5</v>
      </c>
      <c r="AD257" s="686">
        <f t="shared" si="407"/>
        <v>2.5</v>
      </c>
      <c r="AE257" s="686">
        <f t="shared" si="407"/>
        <v>2.5</v>
      </c>
      <c r="AF257" s="686">
        <f t="shared" si="407"/>
        <v>2.5</v>
      </c>
      <c r="AG257" s="686">
        <f t="shared" si="407"/>
        <v>2.5</v>
      </c>
      <c r="AH257" s="686">
        <f t="shared" si="407"/>
        <v>2.5</v>
      </c>
      <c r="AI257" s="686">
        <f t="shared" si="407"/>
        <v>2.5</v>
      </c>
      <c r="AJ257" s="686">
        <f t="shared" si="407"/>
        <v>2.5</v>
      </c>
    </row>
    <row r="258" spans="1:37" s="674" customFormat="1" ht="13.15" customHeight="1" x14ac:dyDescent="0.2">
      <c r="A258" s="680" t="s">
        <v>255</v>
      </c>
      <c r="B258" s="681"/>
      <c r="C258" s="690">
        <f t="shared" ref="C258:N258" si="408">C256*C257</f>
        <v>0</v>
      </c>
      <c r="D258" s="690">
        <f t="shared" si="408"/>
        <v>0</v>
      </c>
      <c r="E258" s="690">
        <f t="shared" si="408"/>
        <v>0</v>
      </c>
      <c r="F258" s="690">
        <f t="shared" si="408"/>
        <v>0</v>
      </c>
      <c r="G258" s="690">
        <f t="shared" si="408"/>
        <v>0</v>
      </c>
      <c r="H258" s="690">
        <f t="shared" si="408"/>
        <v>0</v>
      </c>
      <c r="I258" s="690">
        <f t="shared" si="408"/>
        <v>0</v>
      </c>
      <c r="J258" s="690">
        <f t="shared" si="408"/>
        <v>0</v>
      </c>
      <c r="K258" s="690">
        <f t="shared" si="408"/>
        <v>0</v>
      </c>
      <c r="L258" s="690">
        <f t="shared" si="408"/>
        <v>0</v>
      </c>
      <c r="M258" s="690">
        <f t="shared" si="408"/>
        <v>0</v>
      </c>
      <c r="N258" s="690">
        <f t="shared" si="408"/>
        <v>0</v>
      </c>
      <c r="O258" s="691">
        <f>SUM(C258:N258)</f>
        <v>0</v>
      </c>
      <c r="P258" s="690">
        <f t="shared" ref="P258:AA258" si="409">P256*P257</f>
        <v>0</v>
      </c>
      <c r="Q258" s="690">
        <f t="shared" si="409"/>
        <v>0</v>
      </c>
      <c r="R258" s="690">
        <f t="shared" si="409"/>
        <v>0</v>
      </c>
      <c r="S258" s="690">
        <f t="shared" si="409"/>
        <v>0</v>
      </c>
      <c r="T258" s="690">
        <f t="shared" si="409"/>
        <v>0</v>
      </c>
      <c r="U258" s="690">
        <f t="shared" si="409"/>
        <v>0</v>
      </c>
      <c r="V258" s="690">
        <f t="shared" si="409"/>
        <v>0</v>
      </c>
      <c r="W258" s="690">
        <f t="shared" si="409"/>
        <v>0</v>
      </c>
      <c r="X258" s="690">
        <f t="shared" si="409"/>
        <v>0</v>
      </c>
      <c r="Y258" s="690">
        <f t="shared" si="409"/>
        <v>0</v>
      </c>
      <c r="Z258" s="690">
        <f t="shared" si="409"/>
        <v>0</v>
      </c>
      <c r="AA258" s="690">
        <f t="shared" si="409"/>
        <v>0</v>
      </c>
      <c r="AB258" s="691">
        <f>SUM(P258:AA258)</f>
        <v>0</v>
      </c>
      <c r="AC258" s="690">
        <f t="shared" ref="AC258:AJ258" si="410">AC256*AC257</f>
        <v>0</v>
      </c>
      <c r="AD258" s="690">
        <f t="shared" si="410"/>
        <v>0</v>
      </c>
      <c r="AE258" s="690">
        <f t="shared" si="410"/>
        <v>0</v>
      </c>
      <c r="AF258" s="690">
        <f t="shared" si="410"/>
        <v>0</v>
      </c>
      <c r="AG258" s="690">
        <f t="shared" si="410"/>
        <v>0</v>
      </c>
      <c r="AH258" s="690">
        <f t="shared" si="410"/>
        <v>0</v>
      </c>
      <c r="AI258" s="690">
        <f t="shared" si="410"/>
        <v>0</v>
      </c>
      <c r="AJ258" s="690">
        <f t="shared" si="410"/>
        <v>0</v>
      </c>
    </row>
    <row r="259" spans="1:37" s="674" customFormat="1" ht="13.15" customHeight="1" x14ac:dyDescent="0.2">
      <c r="B259" s="681"/>
      <c r="C259" s="682"/>
      <c r="D259" s="682"/>
      <c r="E259" s="682"/>
      <c r="F259" s="682"/>
      <c r="G259" s="682"/>
      <c r="H259" s="682"/>
      <c r="I259" s="682"/>
      <c r="J259" s="682"/>
      <c r="K259" s="682"/>
      <c r="L259" s="682"/>
      <c r="M259" s="682"/>
      <c r="N259" s="682"/>
      <c r="O259" s="683"/>
      <c r="P259" s="682"/>
      <c r="Q259" s="682"/>
      <c r="R259" s="682"/>
      <c r="S259" s="682"/>
      <c r="T259" s="682"/>
      <c r="U259" s="682"/>
      <c r="V259" s="682"/>
      <c r="W259" s="682"/>
      <c r="X259" s="682"/>
      <c r="Y259" s="682"/>
      <c r="Z259" s="682"/>
      <c r="AA259" s="682"/>
      <c r="AB259" s="683"/>
      <c r="AC259" s="683"/>
      <c r="AD259" s="683"/>
      <c r="AE259" s="683"/>
    </row>
    <row r="260" spans="1:37" s="674" customFormat="1" ht="13.15" customHeight="1" x14ac:dyDescent="0.2">
      <c r="A260" s="680" t="s">
        <v>256</v>
      </c>
      <c r="B260" s="681"/>
      <c r="C260" s="689">
        <v>0</v>
      </c>
      <c r="D260" s="689">
        <v>0</v>
      </c>
      <c r="E260" s="689">
        <v>0</v>
      </c>
      <c r="F260" s="689">
        <v>0</v>
      </c>
      <c r="G260" s="689">
        <v>0</v>
      </c>
      <c r="H260" s="689">
        <v>0</v>
      </c>
      <c r="I260" s="689">
        <v>0</v>
      </c>
      <c r="J260" s="689">
        <v>0</v>
      </c>
      <c r="K260" s="689">
        <v>0</v>
      </c>
      <c r="L260" s="689">
        <v>0</v>
      </c>
      <c r="M260" s="689">
        <v>0</v>
      </c>
      <c r="N260" s="689">
        <v>0</v>
      </c>
      <c r="O260" s="690">
        <f>N260</f>
        <v>0</v>
      </c>
      <c r="P260" s="689">
        <f>N260</f>
        <v>0</v>
      </c>
      <c r="Q260" s="689">
        <f t="shared" ref="Q260:AB260" si="411">P260</f>
        <v>0</v>
      </c>
      <c r="R260" s="689">
        <f t="shared" si="411"/>
        <v>0</v>
      </c>
      <c r="S260" s="689">
        <f t="shared" si="411"/>
        <v>0</v>
      </c>
      <c r="T260" s="689">
        <f t="shared" si="411"/>
        <v>0</v>
      </c>
      <c r="U260" s="689">
        <f t="shared" si="411"/>
        <v>0</v>
      </c>
      <c r="V260" s="689">
        <f t="shared" si="411"/>
        <v>0</v>
      </c>
      <c r="W260" s="689">
        <f t="shared" si="411"/>
        <v>0</v>
      </c>
      <c r="X260" s="689">
        <f t="shared" si="411"/>
        <v>0</v>
      </c>
      <c r="Y260" s="689">
        <f t="shared" si="411"/>
        <v>0</v>
      </c>
      <c r="Z260" s="689">
        <f t="shared" si="411"/>
        <v>0</v>
      </c>
      <c r="AA260" s="689">
        <f t="shared" si="411"/>
        <v>0</v>
      </c>
      <c r="AB260" s="690">
        <f t="shared" si="411"/>
        <v>0</v>
      </c>
      <c r="AC260" s="689">
        <f>AA260</f>
        <v>0</v>
      </c>
      <c r="AD260" s="689">
        <f t="shared" ref="AD260:AJ260" si="412">AC260</f>
        <v>0</v>
      </c>
      <c r="AE260" s="689">
        <f t="shared" si="412"/>
        <v>0</v>
      </c>
      <c r="AF260" s="689">
        <f t="shared" si="412"/>
        <v>0</v>
      </c>
      <c r="AG260" s="689">
        <f t="shared" si="412"/>
        <v>0</v>
      </c>
      <c r="AH260" s="689">
        <f t="shared" si="412"/>
        <v>0</v>
      </c>
      <c r="AI260" s="689">
        <f t="shared" si="412"/>
        <v>0</v>
      </c>
      <c r="AJ260" s="689">
        <f t="shared" si="412"/>
        <v>0</v>
      </c>
    </row>
    <row r="261" spans="1:37" s="674" customFormat="1" ht="13.15" customHeight="1" x14ac:dyDescent="0.2">
      <c r="A261" s="680" t="s">
        <v>252</v>
      </c>
      <c r="B261" s="681"/>
      <c r="C261" s="689">
        <f>300/12</f>
        <v>25</v>
      </c>
      <c r="D261" s="689">
        <f t="shared" ref="D261:N261" si="413">300/12</f>
        <v>25</v>
      </c>
      <c r="E261" s="689">
        <f t="shared" si="413"/>
        <v>25</v>
      </c>
      <c r="F261" s="689">
        <f t="shared" si="413"/>
        <v>25</v>
      </c>
      <c r="G261" s="689">
        <f t="shared" si="413"/>
        <v>25</v>
      </c>
      <c r="H261" s="689">
        <f t="shared" si="413"/>
        <v>25</v>
      </c>
      <c r="I261" s="689">
        <f t="shared" si="413"/>
        <v>25</v>
      </c>
      <c r="J261" s="689">
        <f t="shared" si="413"/>
        <v>25</v>
      </c>
      <c r="K261" s="689">
        <f t="shared" si="413"/>
        <v>25</v>
      </c>
      <c r="L261" s="689">
        <f t="shared" si="413"/>
        <v>25</v>
      </c>
      <c r="M261" s="689">
        <f t="shared" si="413"/>
        <v>25</v>
      </c>
      <c r="N261" s="689">
        <f t="shared" si="413"/>
        <v>25</v>
      </c>
      <c r="O261" s="683">
        <f>SUM(C261:N261)</f>
        <v>300</v>
      </c>
      <c r="P261" s="689">
        <f>300/12</f>
        <v>25</v>
      </c>
      <c r="Q261" s="689">
        <f t="shared" ref="Q261:AA261" si="414">300/12</f>
        <v>25</v>
      </c>
      <c r="R261" s="689">
        <f t="shared" si="414"/>
        <v>25</v>
      </c>
      <c r="S261" s="689">
        <f t="shared" si="414"/>
        <v>25</v>
      </c>
      <c r="T261" s="689">
        <f t="shared" si="414"/>
        <v>25</v>
      </c>
      <c r="U261" s="689">
        <f t="shared" si="414"/>
        <v>25</v>
      </c>
      <c r="V261" s="689">
        <f t="shared" si="414"/>
        <v>25</v>
      </c>
      <c r="W261" s="689">
        <f t="shared" si="414"/>
        <v>25</v>
      </c>
      <c r="X261" s="689">
        <f t="shared" si="414"/>
        <v>25</v>
      </c>
      <c r="Y261" s="689">
        <f t="shared" si="414"/>
        <v>25</v>
      </c>
      <c r="Z261" s="689">
        <f t="shared" si="414"/>
        <v>25</v>
      </c>
      <c r="AA261" s="689">
        <f t="shared" si="414"/>
        <v>25</v>
      </c>
      <c r="AB261" s="683">
        <f>SUM(P261:AA261)</f>
        <v>300</v>
      </c>
      <c r="AC261" s="689">
        <v>300</v>
      </c>
      <c r="AD261" s="689">
        <v>300</v>
      </c>
      <c r="AE261" s="689">
        <v>300</v>
      </c>
      <c r="AF261" s="689">
        <v>300</v>
      </c>
      <c r="AG261" s="689">
        <v>300</v>
      </c>
      <c r="AH261" s="689">
        <v>300</v>
      </c>
      <c r="AI261" s="689">
        <v>300</v>
      </c>
      <c r="AJ261" s="689">
        <v>300</v>
      </c>
    </row>
    <row r="262" spans="1:37" s="674" customFormat="1" ht="13.15" customHeight="1" x14ac:dyDescent="0.2">
      <c r="A262" s="680" t="s">
        <v>254</v>
      </c>
      <c r="B262" s="681"/>
      <c r="C262" s="690">
        <f t="shared" ref="C262:N262" si="415">C260*C261</f>
        <v>0</v>
      </c>
      <c r="D262" s="690">
        <f t="shared" si="415"/>
        <v>0</v>
      </c>
      <c r="E262" s="690">
        <f t="shared" si="415"/>
        <v>0</v>
      </c>
      <c r="F262" s="690">
        <f t="shared" si="415"/>
        <v>0</v>
      </c>
      <c r="G262" s="690">
        <f t="shared" si="415"/>
        <v>0</v>
      </c>
      <c r="H262" s="690">
        <f t="shared" si="415"/>
        <v>0</v>
      </c>
      <c r="I262" s="690">
        <f t="shared" si="415"/>
        <v>0</v>
      </c>
      <c r="J262" s="690">
        <f t="shared" si="415"/>
        <v>0</v>
      </c>
      <c r="K262" s="690">
        <f t="shared" si="415"/>
        <v>0</v>
      </c>
      <c r="L262" s="690">
        <f t="shared" si="415"/>
        <v>0</v>
      </c>
      <c r="M262" s="690">
        <f t="shared" si="415"/>
        <v>0</v>
      </c>
      <c r="N262" s="690">
        <f t="shared" si="415"/>
        <v>0</v>
      </c>
      <c r="O262" s="683">
        <f>SUM(C262:N262)</f>
        <v>0</v>
      </c>
      <c r="P262" s="690">
        <f t="shared" ref="P262:AA262" si="416">P260*P261</f>
        <v>0</v>
      </c>
      <c r="Q262" s="690">
        <f t="shared" si="416"/>
        <v>0</v>
      </c>
      <c r="R262" s="690">
        <f t="shared" si="416"/>
        <v>0</v>
      </c>
      <c r="S262" s="690">
        <f t="shared" si="416"/>
        <v>0</v>
      </c>
      <c r="T262" s="690">
        <f t="shared" si="416"/>
        <v>0</v>
      </c>
      <c r="U262" s="690">
        <f t="shared" si="416"/>
        <v>0</v>
      </c>
      <c r="V262" s="690">
        <f t="shared" si="416"/>
        <v>0</v>
      </c>
      <c r="W262" s="690">
        <f t="shared" si="416"/>
        <v>0</v>
      </c>
      <c r="X262" s="690">
        <f t="shared" si="416"/>
        <v>0</v>
      </c>
      <c r="Y262" s="690">
        <f t="shared" si="416"/>
        <v>0</v>
      </c>
      <c r="Z262" s="690">
        <f t="shared" si="416"/>
        <v>0</v>
      </c>
      <c r="AA262" s="690">
        <f t="shared" si="416"/>
        <v>0</v>
      </c>
      <c r="AB262" s="683">
        <f>SUM(P262:AA262)</f>
        <v>0</v>
      </c>
      <c r="AC262" s="690">
        <f t="shared" ref="AC262:AJ262" si="417">AC260*AC261</f>
        <v>0</v>
      </c>
      <c r="AD262" s="690">
        <f t="shared" si="417"/>
        <v>0</v>
      </c>
      <c r="AE262" s="690">
        <f t="shared" si="417"/>
        <v>0</v>
      </c>
      <c r="AF262" s="690">
        <f t="shared" si="417"/>
        <v>0</v>
      </c>
      <c r="AG262" s="690">
        <f t="shared" si="417"/>
        <v>0</v>
      </c>
      <c r="AH262" s="690">
        <f t="shared" si="417"/>
        <v>0</v>
      </c>
      <c r="AI262" s="690">
        <f t="shared" si="417"/>
        <v>0</v>
      </c>
      <c r="AJ262" s="690">
        <f t="shared" si="417"/>
        <v>0</v>
      </c>
    </row>
    <row r="263" spans="1:37" s="674" customFormat="1" ht="13.15" customHeight="1" x14ac:dyDescent="0.2">
      <c r="A263" s="680" t="s">
        <v>249</v>
      </c>
      <c r="B263" s="681"/>
      <c r="C263" s="686">
        <f>C251</f>
        <v>2.5</v>
      </c>
      <c r="D263" s="686">
        <f t="shared" ref="D263:AJ263" si="418">D251</f>
        <v>2.5</v>
      </c>
      <c r="E263" s="686">
        <f t="shared" si="418"/>
        <v>2.5</v>
      </c>
      <c r="F263" s="686">
        <f t="shared" si="418"/>
        <v>2.5</v>
      </c>
      <c r="G263" s="686">
        <f t="shared" si="418"/>
        <v>2.5</v>
      </c>
      <c r="H263" s="686">
        <f t="shared" si="418"/>
        <v>2.5</v>
      </c>
      <c r="I263" s="686">
        <f t="shared" si="418"/>
        <v>2.5</v>
      </c>
      <c r="J263" s="686">
        <f t="shared" si="418"/>
        <v>2.5</v>
      </c>
      <c r="K263" s="686">
        <f t="shared" si="418"/>
        <v>2.5</v>
      </c>
      <c r="L263" s="686">
        <f t="shared" si="418"/>
        <v>2.5</v>
      </c>
      <c r="M263" s="686">
        <f t="shared" si="418"/>
        <v>2.5</v>
      </c>
      <c r="N263" s="686">
        <f t="shared" si="418"/>
        <v>2.5</v>
      </c>
      <c r="O263" s="686">
        <f t="shared" si="418"/>
        <v>2.5</v>
      </c>
      <c r="P263" s="686">
        <f t="shared" si="418"/>
        <v>2.5</v>
      </c>
      <c r="Q263" s="686">
        <f t="shared" si="418"/>
        <v>2.5</v>
      </c>
      <c r="R263" s="686">
        <f t="shared" si="418"/>
        <v>2.5</v>
      </c>
      <c r="S263" s="686">
        <f t="shared" si="418"/>
        <v>2.5</v>
      </c>
      <c r="T263" s="686">
        <f t="shared" si="418"/>
        <v>2.5</v>
      </c>
      <c r="U263" s="686">
        <f t="shared" si="418"/>
        <v>2.5</v>
      </c>
      <c r="V263" s="686">
        <f t="shared" si="418"/>
        <v>2.5</v>
      </c>
      <c r="W263" s="686">
        <f t="shared" si="418"/>
        <v>2.5</v>
      </c>
      <c r="X263" s="686">
        <f t="shared" si="418"/>
        <v>2.5</v>
      </c>
      <c r="Y263" s="686">
        <f t="shared" si="418"/>
        <v>2.5</v>
      </c>
      <c r="Z263" s="686">
        <f t="shared" si="418"/>
        <v>2.5</v>
      </c>
      <c r="AA263" s="686">
        <f t="shared" si="418"/>
        <v>2.5</v>
      </c>
      <c r="AB263" s="686">
        <f t="shared" si="418"/>
        <v>2.5</v>
      </c>
      <c r="AC263" s="686">
        <f t="shared" si="418"/>
        <v>2.5</v>
      </c>
      <c r="AD263" s="686">
        <f t="shared" si="418"/>
        <v>2.5</v>
      </c>
      <c r="AE263" s="686">
        <f t="shared" si="418"/>
        <v>2.5</v>
      </c>
      <c r="AF263" s="686">
        <f t="shared" si="418"/>
        <v>2.5</v>
      </c>
      <c r="AG263" s="686">
        <f t="shared" si="418"/>
        <v>2.5</v>
      </c>
      <c r="AH263" s="686">
        <f t="shared" si="418"/>
        <v>2.5</v>
      </c>
      <c r="AI263" s="686">
        <f t="shared" si="418"/>
        <v>2.5</v>
      </c>
      <c r="AJ263" s="686">
        <f t="shared" si="418"/>
        <v>2.5</v>
      </c>
    </row>
    <row r="264" spans="1:37" s="674" customFormat="1" ht="13.15" customHeight="1" x14ac:dyDescent="0.2">
      <c r="A264" s="680" t="s">
        <v>255</v>
      </c>
      <c r="B264" s="681"/>
      <c r="C264" s="690">
        <f t="shared" ref="C264:N264" si="419">C262*C263</f>
        <v>0</v>
      </c>
      <c r="D264" s="690">
        <f t="shared" si="419"/>
        <v>0</v>
      </c>
      <c r="E264" s="690">
        <f t="shared" si="419"/>
        <v>0</v>
      </c>
      <c r="F264" s="690">
        <f t="shared" si="419"/>
        <v>0</v>
      </c>
      <c r="G264" s="690">
        <f t="shared" si="419"/>
        <v>0</v>
      </c>
      <c r="H264" s="690">
        <f t="shared" si="419"/>
        <v>0</v>
      </c>
      <c r="I264" s="690">
        <f t="shared" si="419"/>
        <v>0</v>
      </c>
      <c r="J264" s="690">
        <f t="shared" si="419"/>
        <v>0</v>
      </c>
      <c r="K264" s="690">
        <f t="shared" si="419"/>
        <v>0</v>
      </c>
      <c r="L264" s="690">
        <f t="shared" si="419"/>
        <v>0</v>
      </c>
      <c r="M264" s="690">
        <f t="shared" si="419"/>
        <v>0</v>
      </c>
      <c r="N264" s="690">
        <f t="shared" si="419"/>
        <v>0</v>
      </c>
      <c r="O264" s="691">
        <f>SUM(C264:N264)</f>
        <v>0</v>
      </c>
      <c r="P264" s="690">
        <f t="shared" ref="P264:AA264" si="420">P262*P263</f>
        <v>0</v>
      </c>
      <c r="Q264" s="690">
        <f t="shared" si="420"/>
        <v>0</v>
      </c>
      <c r="R264" s="690">
        <f t="shared" si="420"/>
        <v>0</v>
      </c>
      <c r="S264" s="690">
        <f t="shared" si="420"/>
        <v>0</v>
      </c>
      <c r="T264" s="690">
        <f t="shared" si="420"/>
        <v>0</v>
      </c>
      <c r="U264" s="690">
        <f t="shared" si="420"/>
        <v>0</v>
      </c>
      <c r="V264" s="690">
        <f t="shared" si="420"/>
        <v>0</v>
      </c>
      <c r="W264" s="690">
        <f t="shared" si="420"/>
        <v>0</v>
      </c>
      <c r="X264" s="690">
        <f t="shared" si="420"/>
        <v>0</v>
      </c>
      <c r="Y264" s="690">
        <f t="shared" si="420"/>
        <v>0</v>
      </c>
      <c r="Z264" s="690">
        <f t="shared" si="420"/>
        <v>0</v>
      </c>
      <c r="AA264" s="690">
        <f t="shared" si="420"/>
        <v>0</v>
      </c>
      <c r="AB264" s="691">
        <f>SUM(P264:AA264)</f>
        <v>0</v>
      </c>
      <c r="AC264" s="690">
        <f t="shared" ref="AC264:AJ264" si="421">AC262*AC263</f>
        <v>0</v>
      </c>
      <c r="AD264" s="690">
        <f t="shared" si="421"/>
        <v>0</v>
      </c>
      <c r="AE264" s="690">
        <f t="shared" si="421"/>
        <v>0</v>
      </c>
      <c r="AF264" s="690">
        <f t="shared" si="421"/>
        <v>0</v>
      </c>
      <c r="AG264" s="690">
        <f t="shared" si="421"/>
        <v>0</v>
      </c>
      <c r="AH264" s="690">
        <f t="shared" si="421"/>
        <v>0</v>
      </c>
      <c r="AI264" s="690">
        <f t="shared" si="421"/>
        <v>0</v>
      </c>
      <c r="AJ264" s="690">
        <f t="shared" si="421"/>
        <v>0</v>
      </c>
    </row>
    <row r="265" spans="1:37" s="674" customFormat="1" ht="13.15" customHeight="1" x14ac:dyDescent="0.2">
      <c r="A265" s="680"/>
      <c r="B265" s="681"/>
      <c r="C265" s="682"/>
      <c r="D265" s="682"/>
      <c r="E265" s="682"/>
      <c r="F265" s="682"/>
      <c r="G265" s="682"/>
      <c r="H265" s="682"/>
      <c r="I265" s="682"/>
      <c r="J265" s="682"/>
      <c r="K265" s="682"/>
      <c r="L265" s="682"/>
      <c r="M265" s="682"/>
      <c r="N265" s="682"/>
      <c r="O265" s="683"/>
      <c r="P265" s="682"/>
      <c r="Q265" s="682"/>
      <c r="R265" s="682"/>
      <c r="S265" s="682"/>
      <c r="T265" s="682"/>
      <c r="U265" s="682"/>
      <c r="V265" s="682"/>
      <c r="W265" s="682"/>
      <c r="X265" s="682"/>
      <c r="Y265" s="682"/>
      <c r="Z265" s="682"/>
      <c r="AA265" s="682"/>
      <c r="AB265" s="683"/>
      <c r="AC265" s="683"/>
      <c r="AD265" s="683"/>
      <c r="AE265" s="683"/>
    </row>
    <row r="266" spans="1:37" s="684" customFormat="1" ht="13.15" customHeight="1" x14ac:dyDescent="0.2">
      <c r="A266" s="676" t="s">
        <v>257</v>
      </c>
      <c r="B266" s="677"/>
      <c r="C266" s="694">
        <f>C252+C258+C264</f>
        <v>0</v>
      </c>
      <c r="D266" s="694">
        <f t="shared" ref="D266:N266" si="422">D252+D258+D264</f>
        <v>0</v>
      </c>
      <c r="E266" s="694">
        <f t="shared" si="422"/>
        <v>0</v>
      </c>
      <c r="F266" s="694">
        <f t="shared" si="422"/>
        <v>0</v>
      </c>
      <c r="G266" s="694">
        <f t="shared" si="422"/>
        <v>0</v>
      </c>
      <c r="H266" s="694">
        <f t="shared" si="422"/>
        <v>0</v>
      </c>
      <c r="I266" s="694">
        <f t="shared" si="422"/>
        <v>0</v>
      </c>
      <c r="J266" s="694">
        <f t="shared" si="422"/>
        <v>0</v>
      </c>
      <c r="K266" s="694">
        <f t="shared" si="422"/>
        <v>0</v>
      </c>
      <c r="L266" s="694">
        <f t="shared" si="422"/>
        <v>0</v>
      </c>
      <c r="M266" s="694">
        <f t="shared" si="422"/>
        <v>0</v>
      </c>
      <c r="N266" s="694">
        <f t="shared" si="422"/>
        <v>0</v>
      </c>
      <c r="O266" s="679">
        <f>SUM(C266:N266)</f>
        <v>0</v>
      </c>
      <c r="P266" s="694">
        <f t="shared" ref="P266:AA266" si="423">P252+P258+P264</f>
        <v>0</v>
      </c>
      <c r="Q266" s="694">
        <f t="shared" si="423"/>
        <v>0</v>
      </c>
      <c r="R266" s="694">
        <f t="shared" si="423"/>
        <v>0</v>
      </c>
      <c r="S266" s="694">
        <f t="shared" si="423"/>
        <v>0</v>
      </c>
      <c r="T266" s="694">
        <f t="shared" si="423"/>
        <v>0</v>
      </c>
      <c r="U266" s="694">
        <f t="shared" si="423"/>
        <v>0</v>
      </c>
      <c r="V266" s="694">
        <f t="shared" si="423"/>
        <v>0</v>
      </c>
      <c r="W266" s="694">
        <f t="shared" si="423"/>
        <v>0</v>
      </c>
      <c r="X266" s="694">
        <f t="shared" si="423"/>
        <v>0</v>
      </c>
      <c r="Y266" s="694">
        <f t="shared" si="423"/>
        <v>0</v>
      </c>
      <c r="Z266" s="694">
        <f t="shared" si="423"/>
        <v>0</v>
      </c>
      <c r="AA266" s="694">
        <f t="shared" si="423"/>
        <v>0</v>
      </c>
      <c r="AB266" s="694">
        <f>SUM(P266:AA266)</f>
        <v>0</v>
      </c>
      <c r="AC266" s="694">
        <f t="shared" ref="AC266:AJ266" si="424">AC252+AC258+AC264</f>
        <v>194.31562500000001</v>
      </c>
      <c r="AD266" s="694">
        <f t="shared" si="424"/>
        <v>808.35300000000007</v>
      </c>
      <c r="AE266" s="694">
        <f t="shared" si="424"/>
        <v>1873.3580774999998</v>
      </c>
      <c r="AF266" s="694">
        <f t="shared" si="424"/>
        <v>3821.6504780999999</v>
      </c>
      <c r="AG266" s="694">
        <f t="shared" si="424"/>
        <v>6504.5906563365006</v>
      </c>
      <c r="AH266" s="694">
        <f t="shared" si="424"/>
        <v>8577.4821841800003</v>
      </c>
      <c r="AI266" s="694">
        <f t="shared" si="424"/>
        <v>10007.062548210002</v>
      </c>
      <c r="AJ266" s="694">
        <f t="shared" si="424"/>
        <v>11436.64291224</v>
      </c>
    </row>
    <row r="267" spans="1:37" s="674" customFormat="1" ht="13.15" customHeight="1" x14ac:dyDescent="0.2">
      <c r="A267" s="680"/>
      <c r="B267" s="681"/>
      <c r="C267" s="682"/>
      <c r="D267" s="682"/>
      <c r="E267" s="682"/>
      <c r="F267" s="682"/>
      <c r="G267" s="682"/>
      <c r="H267" s="682"/>
      <c r="I267" s="682"/>
      <c r="J267" s="682"/>
      <c r="K267" s="682"/>
      <c r="L267" s="682"/>
      <c r="M267" s="682"/>
      <c r="N267" s="682"/>
      <c r="O267" s="683"/>
      <c r="P267" s="682"/>
      <c r="Q267" s="682"/>
      <c r="R267" s="682"/>
      <c r="S267" s="682"/>
      <c r="T267" s="682"/>
      <c r="U267" s="682"/>
      <c r="V267" s="682"/>
      <c r="W267" s="682"/>
      <c r="X267" s="682"/>
      <c r="Y267" s="682"/>
      <c r="Z267" s="682"/>
      <c r="AA267" s="682"/>
      <c r="AB267" s="683"/>
      <c r="AC267" s="683"/>
      <c r="AD267" s="683"/>
      <c r="AE267" s="683"/>
    </row>
    <row r="268" spans="1:37" s="674" customFormat="1" ht="13.15" customHeight="1" x14ac:dyDescent="0.2">
      <c r="A268" s="680" t="s">
        <v>258</v>
      </c>
      <c r="B268" s="681"/>
      <c r="C268" s="767">
        <f>C$25</f>
        <v>300</v>
      </c>
      <c r="D268" s="767">
        <f t="shared" ref="D268:AJ268" si="425">D$25</f>
        <v>300</v>
      </c>
      <c r="E268" s="767">
        <f t="shared" si="425"/>
        <v>300</v>
      </c>
      <c r="F268" s="767">
        <f t="shared" si="425"/>
        <v>300</v>
      </c>
      <c r="G268" s="767">
        <f t="shared" si="425"/>
        <v>300</v>
      </c>
      <c r="H268" s="767">
        <f t="shared" si="425"/>
        <v>300</v>
      </c>
      <c r="I268" s="767">
        <f t="shared" si="425"/>
        <v>300</v>
      </c>
      <c r="J268" s="767">
        <f t="shared" si="425"/>
        <v>300</v>
      </c>
      <c r="K268" s="767">
        <f t="shared" si="425"/>
        <v>300</v>
      </c>
      <c r="L268" s="767">
        <f t="shared" si="425"/>
        <v>300</v>
      </c>
      <c r="M268" s="767">
        <f t="shared" si="425"/>
        <v>300</v>
      </c>
      <c r="N268" s="767">
        <f t="shared" si="425"/>
        <v>300</v>
      </c>
      <c r="O268" s="767">
        <f t="shared" si="425"/>
        <v>300</v>
      </c>
      <c r="P268" s="767">
        <f t="shared" si="425"/>
        <v>300</v>
      </c>
      <c r="Q268" s="767">
        <f t="shared" si="425"/>
        <v>300</v>
      </c>
      <c r="R268" s="767">
        <f t="shared" si="425"/>
        <v>300</v>
      </c>
      <c r="S268" s="767">
        <f t="shared" si="425"/>
        <v>300</v>
      </c>
      <c r="T268" s="767">
        <f t="shared" si="425"/>
        <v>300</v>
      </c>
      <c r="U268" s="767">
        <f t="shared" si="425"/>
        <v>300</v>
      </c>
      <c r="V268" s="767">
        <f t="shared" si="425"/>
        <v>300</v>
      </c>
      <c r="W268" s="767">
        <f t="shared" si="425"/>
        <v>300</v>
      </c>
      <c r="X268" s="767">
        <f t="shared" si="425"/>
        <v>300</v>
      </c>
      <c r="Y268" s="767">
        <f t="shared" si="425"/>
        <v>300</v>
      </c>
      <c r="Z268" s="767">
        <f t="shared" si="425"/>
        <v>300</v>
      </c>
      <c r="AA268" s="767">
        <f t="shared" si="425"/>
        <v>300</v>
      </c>
      <c r="AB268" s="767">
        <f t="shared" si="425"/>
        <v>300</v>
      </c>
      <c r="AC268" s="767">
        <f t="shared" si="425"/>
        <v>300</v>
      </c>
      <c r="AD268" s="767">
        <f t="shared" si="425"/>
        <v>300</v>
      </c>
      <c r="AE268" s="767">
        <f t="shared" si="425"/>
        <v>300</v>
      </c>
      <c r="AF268" s="767">
        <f t="shared" si="425"/>
        <v>300</v>
      </c>
      <c r="AG268" s="767">
        <f t="shared" si="425"/>
        <v>300</v>
      </c>
      <c r="AH268" s="767">
        <f t="shared" si="425"/>
        <v>300</v>
      </c>
      <c r="AI268" s="767">
        <f t="shared" si="425"/>
        <v>300</v>
      </c>
      <c r="AJ268" s="767">
        <f t="shared" si="425"/>
        <v>300</v>
      </c>
      <c r="AK268" s="693"/>
    </row>
    <row r="269" spans="1:37" s="674" customFormat="1" ht="13.15" customHeight="1" x14ac:dyDescent="0.2">
      <c r="A269" s="680"/>
      <c r="B269" s="681"/>
      <c r="C269" s="682"/>
      <c r="D269" s="682"/>
      <c r="E269" s="682"/>
      <c r="F269" s="682"/>
      <c r="G269" s="682"/>
      <c r="H269" s="682"/>
      <c r="I269" s="682"/>
      <c r="J269" s="682"/>
      <c r="K269" s="682"/>
      <c r="L269" s="682"/>
      <c r="M269" s="682"/>
      <c r="N269" s="682"/>
      <c r="O269" s="683"/>
      <c r="P269" s="682"/>
      <c r="Q269" s="682"/>
      <c r="R269" s="682"/>
      <c r="S269" s="682"/>
      <c r="T269" s="682"/>
      <c r="U269" s="682"/>
      <c r="V269" s="682"/>
      <c r="W269" s="682"/>
      <c r="X269" s="682"/>
      <c r="Y269" s="682"/>
      <c r="Z269" s="682"/>
      <c r="AA269" s="682"/>
      <c r="AB269" s="683"/>
      <c r="AC269" s="683"/>
      <c r="AD269" s="683"/>
      <c r="AE269" s="683"/>
    </row>
    <row r="270" spans="1:37" s="766" customFormat="1" ht="13.15" customHeight="1" x14ac:dyDescent="0.2">
      <c r="A270" s="763" t="s">
        <v>423</v>
      </c>
      <c r="B270" s="764"/>
      <c r="C270" s="765">
        <f>C266*C268</f>
        <v>0</v>
      </c>
      <c r="D270" s="765">
        <f t="shared" ref="D270:N270" si="426">D266*D268</f>
        <v>0</v>
      </c>
      <c r="E270" s="765">
        <f t="shared" si="426"/>
        <v>0</v>
      </c>
      <c r="F270" s="765">
        <f t="shared" si="426"/>
        <v>0</v>
      </c>
      <c r="G270" s="765">
        <f t="shared" si="426"/>
        <v>0</v>
      </c>
      <c r="H270" s="765">
        <f t="shared" si="426"/>
        <v>0</v>
      </c>
      <c r="I270" s="765">
        <f t="shared" si="426"/>
        <v>0</v>
      </c>
      <c r="J270" s="765">
        <f t="shared" si="426"/>
        <v>0</v>
      </c>
      <c r="K270" s="765">
        <f t="shared" si="426"/>
        <v>0</v>
      </c>
      <c r="L270" s="765">
        <f t="shared" si="426"/>
        <v>0</v>
      </c>
      <c r="M270" s="765">
        <f t="shared" si="426"/>
        <v>0</v>
      </c>
      <c r="N270" s="765">
        <f t="shared" si="426"/>
        <v>0</v>
      </c>
      <c r="O270" s="765">
        <f>SUM(C270:N270)</f>
        <v>0</v>
      </c>
      <c r="P270" s="765">
        <f>P266*P268</f>
        <v>0</v>
      </c>
      <c r="Q270" s="765">
        <f t="shared" ref="Q270:AA270" si="427">Q266*Q268</f>
        <v>0</v>
      </c>
      <c r="R270" s="765">
        <f t="shared" si="427"/>
        <v>0</v>
      </c>
      <c r="S270" s="765">
        <f t="shared" si="427"/>
        <v>0</v>
      </c>
      <c r="T270" s="765">
        <f t="shared" si="427"/>
        <v>0</v>
      </c>
      <c r="U270" s="765">
        <f t="shared" si="427"/>
        <v>0</v>
      </c>
      <c r="V270" s="765">
        <f t="shared" si="427"/>
        <v>0</v>
      </c>
      <c r="W270" s="765">
        <f t="shared" si="427"/>
        <v>0</v>
      </c>
      <c r="X270" s="765">
        <f t="shared" si="427"/>
        <v>0</v>
      </c>
      <c r="Y270" s="765">
        <f t="shared" si="427"/>
        <v>0</v>
      </c>
      <c r="Z270" s="765">
        <f t="shared" si="427"/>
        <v>0</v>
      </c>
      <c r="AA270" s="765">
        <f t="shared" si="427"/>
        <v>0</v>
      </c>
      <c r="AB270" s="765">
        <f>SUM(P270:AA270)</f>
        <v>0</v>
      </c>
      <c r="AC270" s="765">
        <f t="shared" ref="AC270:AJ270" si="428">AC266*AC268</f>
        <v>58294.6875</v>
      </c>
      <c r="AD270" s="765">
        <f t="shared" si="428"/>
        <v>242505.90000000002</v>
      </c>
      <c r="AE270" s="765">
        <f t="shared" si="428"/>
        <v>562007.42324999999</v>
      </c>
      <c r="AF270" s="765">
        <f t="shared" si="428"/>
        <v>1146495.1434299999</v>
      </c>
      <c r="AG270" s="765">
        <f t="shared" si="428"/>
        <v>1951377.1969009503</v>
      </c>
      <c r="AH270" s="765">
        <f t="shared" si="428"/>
        <v>2573244.6552539999</v>
      </c>
      <c r="AI270" s="765">
        <f t="shared" si="428"/>
        <v>3002118.7644630005</v>
      </c>
      <c r="AJ270" s="765">
        <f t="shared" si="428"/>
        <v>3430992.8736720001</v>
      </c>
    </row>
    <row r="271" spans="1:37" s="674" customFormat="1" ht="13.15" customHeight="1" x14ac:dyDescent="0.2">
      <c r="A271" s="680"/>
      <c r="B271" s="681"/>
      <c r="C271" s="682"/>
      <c r="D271" s="682"/>
      <c r="E271" s="682"/>
      <c r="F271" s="682"/>
      <c r="G271" s="682"/>
      <c r="H271" s="682"/>
      <c r="I271" s="682"/>
      <c r="J271" s="682"/>
      <c r="K271" s="682"/>
      <c r="L271" s="682"/>
      <c r="M271" s="682"/>
      <c r="N271" s="682"/>
      <c r="O271" s="683"/>
      <c r="P271" s="682"/>
      <c r="Q271" s="682"/>
      <c r="R271" s="682"/>
      <c r="S271" s="682"/>
      <c r="T271" s="682"/>
      <c r="U271" s="682"/>
      <c r="V271" s="682"/>
      <c r="W271" s="682"/>
      <c r="X271" s="682"/>
      <c r="Y271" s="682"/>
      <c r="Z271" s="682"/>
      <c r="AA271" s="682"/>
      <c r="AB271" s="683"/>
      <c r="AC271" s="683"/>
      <c r="AD271" s="683"/>
      <c r="AE271" s="683"/>
    </row>
    <row r="272" spans="1:37" s="674" customFormat="1" ht="13.15" customHeight="1" x14ac:dyDescent="0.2">
      <c r="A272" s="680"/>
      <c r="B272" s="681"/>
      <c r="C272" s="682"/>
      <c r="D272" s="682"/>
      <c r="E272" s="682"/>
      <c r="F272" s="682"/>
      <c r="G272" s="682"/>
      <c r="H272" s="682"/>
      <c r="I272" s="682"/>
      <c r="J272" s="682"/>
      <c r="K272" s="682"/>
      <c r="L272" s="682"/>
      <c r="M272" s="682"/>
      <c r="N272" s="682"/>
      <c r="O272" s="683"/>
      <c r="P272" s="682"/>
      <c r="Q272" s="682"/>
      <c r="R272" s="682"/>
      <c r="S272" s="682"/>
      <c r="T272" s="682"/>
      <c r="U272" s="682"/>
      <c r="V272" s="682"/>
      <c r="W272" s="682"/>
      <c r="X272" s="682"/>
      <c r="Y272" s="682"/>
      <c r="Z272" s="682"/>
      <c r="AA272" s="682"/>
      <c r="AB272" s="683"/>
      <c r="AC272" s="683"/>
      <c r="AD272" s="683"/>
      <c r="AE272" s="683"/>
    </row>
    <row r="273" spans="1:36" s="674" customFormat="1" ht="13.15" customHeight="1" x14ac:dyDescent="0.2">
      <c r="A273" s="676" t="s">
        <v>450</v>
      </c>
      <c r="B273" s="677"/>
      <c r="C273" s="678"/>
      <c r="D273" s="678"/>
      <c r="E273" s="678"/>
      <c r="F273" s="678"/>
      <c r="G273" s="678"/>
      <c r="H273" s="678"/>
      <c r="I273" s="678"/>
      <c r="J273" s="678"/>
      <c r="K273" s="678"/>
      <c r="L273" s="678"/>
      <c r="M273" s="678"/>
      <c r="N273" s="678"/>
      <c r="O273" s="679"/>
      <c r="P273" s="678"/>
      <c r="Q273" s="678"/>
      <c r="R273" s="678"/>
      <c r="S273" s="678"/>
      <c r="T273" s="678"/>
      <c r="U273" s="678"/>
      <c r="V273" s="678"/>
      <c r="W273" s="678"/>
      <c r="X273" s="678"/>
      <c r="Y273" s="678"/>
      <c r="Z273" s="678"/>
      <c r="AA273" s="678"/>
      <c r="AB273" s="679"/>
      <c r="AC273" s="679"/>
      <c r="AD273" s="679"/>
      <c r="AE273" s="679"/>
    </row>
    <row r="274" spans="1:36" s="674" customFormat="1" ht="13.15" customHeight="1" x14ac:dyDescent="0.2">
      <c r="A274" s="674" t="s">
        <v>250</v>
      </c>
      <c r="B274" s="681"/>
      <c r="C274" s="690">
        <f>$O274/12</f>
        <v>416.66666666666669</v>
      </c>
      <c r="D274" s="690">
        <f t="shared" ref="D274:N274" si="429">$O274/12</f>
        <v>416.66666666666669</v>
      </c>
      <c r="E274" s="690">
        <f t="shared" si="429"/>
        <v>416.66666666666669</v>
      </c>
      <c r="F274" s="690">
        <f t="shared" si="429"/>
        <v>416.66666666666669</v>
      </c>
      <c r="G274" s="690">
        <f t="shared" si="429"/>
        <v>416.66666666666669</v>
      </c>
      <c r="H274" s="690">
        <f t="shared" si="429"/>
        <v>416.66666666666669</v>
      </c>
      <c r="I274" s="690">
        <f t="shared" si="429"/>
        <v>416.66666666666669</v>
      </c>
      <c r="J274" s="690">
        <f t="shared" si="429"/>
        <v>416.66666666666669</v>
      </c>
      <c r="K274" s="690">
        <f t="shared" si="429"/>
        <v>416.66666666666669</v>
      </c>
      <c r="L274" s="690">
        <f t="shared" si="429"/>
        <v>416.66666666666669</v>
      </c>
      <c r="M274" s="690">
        <f t="shared" si="429"/>
        <v>416.66666666666669</v>
      </c>
      <c r="N274" s="690">
        <f t="shared" si="429"/>
        <v>416.66666666666669</v>
      </c>
      <c r="O274" s="689">
        <v>5000</v>
      </c>
      <c r="P274" s="690">
        <f>$AB274/12</f>
        <v>500</v>
      </c>
      <c r="Q274" s="690">
        <f t="shared" ref="Q274:AA274" si="430">$AB274/12</f>
        <v>500</v>
      </c>
      <c r="R274" s="690">
        <f t="shared" si="430"/>
        <v>500</v>
      </c>
      <c r="S274" s="690">
        <f t="shared" si="430"/>
        <v>500</v>
      </c>
      <c r="T274" s="690">
        <f t="shared" si="430"/>
        <v>500</v>
      </c>
      <c r="U274" s="690">
        <f t="shared" si="430"/>
        <v>500</v>
      </c>
      <c r="V274" s="690">
        <f t="shared" si="430"/>
        <v>500</v>
      </c>
      <c r="W274" s="690">
        <f t="shared" si="430"/>
        <v>500</v>
      </c>
      <c r="X274" s="690">
        <f t="shared" si="430"/>
        <v>500</v>
      </c>
      <c r="Y274" s="690">
        <f t="shared" si="430"/>
        <v>500</v>
      </c>
      <c r="Z274" s="690">
        <f t="shared" si="430"/>
        <v>500</v>
      </c>
      <c r="AA274" s="690">
        <f t="shared" si="430"/>
        <v>500</v>
      </c>
      <c r="AB274" s="690">
        <f>O274*(1+AB275)</f>
        <v>6000</v>
      </c>
      <c r="AC274" s="690">
        <f t="shared" ref="AC274:AJ274" si="431">AB274*(1+AC275)</f>
        <v>6899.9999999999991</v>
      </c>
      <c r="AD274" s="690">
        <f t="shared" si="431"/>
        <v>7590</v>
      </c>
      <c r="AE274" s="690">
        <f t="shared" si="431"/>
        <v>8349</v>
      </c>
      <c r="AF274" s="690">
        <f t="shared" si="431"/>
        <v>8975.1749999999993</v>
      </c>
      <c r="AG274" s="690">
        <f t="shared" si="431"/>
        <v>9423.9337500000001</v>
      </c>
      <c r="AH274" s="690">
        <f t="shared" si="431"/>
        <v>9800.8911000000007</v>
      </c>
      <c r="AI274" s="690">
        <f t="shared" si="431"/>
        <v>10192.926744</v>
      </c>
      <c r="AJ274" s="690">
        <f t="shared" si="431"/>
        <v>10600.64381376</v>
      </c>
    </row>
    <row r="275" spans="1:36" s="688" customFormat="1" ht="13.15" customHeight="1" x14ac:dyDescent="0.2">
      <c r="A275" s="680" t="s">
        <v>324</v>
      </c>
      <c r="B275" s="681"/>
      <c r="C275" s="687"/>
      <c r="D275" s="687"/>
      <c r="E275" s="687"/>
      <c r="F275" s="687"/>
      <c r="G275" s="687"/>
      <c r="H275" s="687"/>
      <c r="I275" s="687"/>
      <c r="J275" s="687"/>
      <c r="K275" s="687"/>
      <c r="L275" s="687"/>
      <c r="M275" s="687"/>
      <c r="N275" s="687"/>
      <c r="O275" s="692"/>
      <c r="P275" s="687"/>
      <c r="Q275" s="687"/>
      <c r="R275" s="687"/>
      <c r="S275" s="687"/>
      <c r="T275" s="687"/>
      <c r="U275" s="687"/>
      <c r="V275" s="687"/>
      <c r="W275" s="687"/>
      <c r="X275" s="687"/>
      <c r="Y275" s="687"/>
      <c r="Z275" s="687"/>
      <c r="AA275" s="687"/>
      <c r="AB275" s="687">
        <v>0.2</v>
      </c>
      <c r="AC275" s="687">
        <v>0.15</v>
      </c>
      <c r="AD275" s="687">
        <v>0.1</v>
      </c>
      <c r="AE275" s="687">
        <v>0.1</v>
      </c>
      <c r="AF275" s="687">
        <v>7.4999999999999997E-2</v>
      </c>
      <c r="AG275" s="687">
        <v>0.05</v>
      </c>
      <c r="AH275" s="687">
        <f>AG275-1%</f>
        <v>0.04</v>
      </c>
      <c r="AI275" s="688">
        <f>AH275</f>
        <v>0.04</v>
      </c>
      <c r="AJ275" s="688">
        <f>AI275</f>
        <v>0.04</v>
      </c>
    </row>
    <row r="276" spans="1:36" s="688" customFormat="1" ht="13.15" customHeight="1" x14ac:dyDescent="0.2">
      <c r="A276" s="680" t="s">
        <v>248</v>
      </c>
      <c r="B276" s="681"/>
      <c r="C276" s="687">
        <f t="shared" ref="C276:N276" si="432">C249</f>
        <v>0</v>
      </c>
      <c r="D276" s="687">
        <f t="shared" si="432"/>
        <v>0</v>
      </c>
      <c r="E276" s="687">
        <f t="shared" si="432"/>
        <v>0</v>
      </c>
      <c r="F276" s="687">
        <f t="shared" si="432"/>
        <v>0</v>
      </c>
      <c r="G276" s="687">
        <f t="shared" si="432"/>
        <v>0</v>
      </c>
      <c r="H276" s="687">
        <f t="shared" si="432"/>
        <v>0</v>
      </c>
      <c r="I276" s="687">
        <f t="shared" si="432"/>
        <v>0</v>
      </c>
      <c r="J276" s="687">
        <f t="shared" si="432"/>
        <v>0</v>
      </c>
      <c r="K276" s="687">
        <f t="shared" si="432"/>
        <v>0</v>
      </c>
      <c r="L276" s="687">
        <f t="shared" si="432"/>
        <v>0</v>
      </c>
      <c r="M276" s="687">
        <f t="shared" si="432"/>
        <v>0</v>
      </c>
      <c r="N276" s="687">
        <f t="shared" si="432"/>
        <v>0</v>
      </c>
      <c r="O276" s="692">
        <f>N276</f>
        <v>0</v>
      </c>
      <c r="P276" s="687">
        <v>0</v>
      </c>
      <c r="Q276" s="687">
        <f t="shared" ref="Q276:AB276" si="433">P276</f>
        <v>0</v>
      </c>
      <c r="R276" s="687">
        <f t="shared" si="433"/>
        <v>0</v>
      </c>
      <c r="S276" s="687">
        <f t="shared" si="433"/>
        <v>0</v>
      </c>
      <c r="T276" s="687">
        <f t="shared" si="433"/>
        <v>0</v>
      </c>
      <c r="U276" s="687">
        <f t="shared" si="433"/>
        <v>0</v>
      </c>
      <c r="V276" s="687">
        <f t="shared" si="433"/>
        <v>0</v>
      </c>
      <c r="W276" s="687">
        <f t="shared" si="433"/>
        <v>0</v>
      </c>
      <c r="X276" s="687">
        <f t="shared" si="433"/>
        <v>0</v>
      </c>
      <c r="Y276" s="687">
        <f t="shared" si="433"/>
        <v>0</v>
      </c>
      <c r="Z276" s="687">
        <f t="shared" si="433"/>
        <v>0</v>
      </c>
      <c r="AA276" s="687">
        <f t="shared" si="433"/>
        <v>0</v>
      </c>
      <c r="AB276" s="692">
        <f t="shared" si="433"/>
        <v>0</v>
      </c>
      <c r="AC276" s="687">
        <f>AC249</f>
        <v>6.0000000000000001E-3</v>
      </c>
      <c r="AD276" s="687">
        <f t="shared" ref="AD276:AJ276" si="434">AD249</f>
        <v>1.7999999999999999E-2</v>
      </c>
      <c r="AE276" s="687">
        <f t="shared" si="434"/>
        <v>3.5999999999999997E-2</v>
      </c>
      <c r="AF276" s="687">
        <f t="shared" si="434"/>
        <v>7.1999999999999995E-2</v>
      </c>
      <c r="AG276" s="687">
        <f t="shared" si="434"/>
        <v>0.11</v>
      </c>
      <c r="AH276" s="687">
        <f t="shared" si="434"/>
        <v>0.13</v>
      </c>
      <c r="AI276" s="687">
        <f t="shared" si="434"/>
        <v>0.15</v>
      </c>
      <c r="AJ276" s="687">
        <f t="shared" si="434"/>
        <v>0.16999999999999998</v>
      </c>
    </row>
    <row r="277" spans="1:36" s="674" customFormat="1" ht="13.15" customHeight="1" x14ac:dyDescent="0.2">
      <c r="A277" s="680" t="s">
        <v>251</v>
      </c>
      <c r="B277" s="681"/>
      <c r="C277" s="690">
        <f t="shared" ref="C277:N277" si="435">C274*C276</f>
        <v>0</v>
      </c>
      <c r="D277" s="690">
        <f t="shared" si="435"/>
        <v>0</v>
      </c>
      <c r="E277" s="690">
        <f t="shared" si="435"/>
        <v>0</v>
      </c>
      <c r="F277" s="690">
        <f t="shared" si="435"/>
        <v>0</v>
      </c>
      <c r="G277" s="690">
        <f t="shared" si="435"/>
        <v>0</v>
      </c>
      <c r="H277" s="690">
        <f t="shared" si="435"/>
        <v>0</v>
      </c>
      <c r="I277" s="690">
        <f t="shared" si="435"/>
        <v>0</v>
      </c>
      <c r="J277" s="690">
        <f t="shared" si="435"/>
        <v>0</v>
      </c>
      <c r="K277" s="690">
        <f t="shared" si="435"/>
        <v>0</v>
      </c>
      <c r="L277" s="690">
        <f t="shared" si="435"/>
        <v>0</v>
      </c>
      <c r="M277" s="690">
        <f t="shared" si="435"/>
        <v>0</v>
      </c>
      <c r="N277" s="690">
        <f t="shared" si="435"/>
        <v>0</v>
      </c>
      <c r="O277" s="683">
        <f>SUM(C277:N277)</f>
        <v>0</v>
      </c>
      <c r="P277" s="690">
        <f t="shared" ref="P277:AA277" si="436">P274*P276</f>
        <v>0</v>
      </c>
      <c r="Q277" s="690">
        <f t="shared" si="436"/>
        <v>0</v>
      </c>
      <c r="R277" s="690">
        <f t="shared" si="436"/>
        <v>0</v>
      </c>
      <c r="S277" s="690">
        <f t="shared" si="436"/>
        <v>0</v>
      </c>
      <c r="T277" s="690">
        <f t="shared" si="436"/>
        <v>0</v>
      </c>
      <c r="U277" s="690">
        <f t="shared" si="436"/>
        <v>0</v>
      </c>
      <c r="V277" s="690">
        <f t="shared" si="436"/>
        <v>0</v>
      </c>
      <c r="W277" s="690">
        <f t="shared" si="436"/>
        <v>0</v>
      </c>
      <c r="X277" s="690">
        <f t="shared" si="436"/>
        <v>0</v>
      </c>
      <c r="Y277" s="690">
        <f t="shared" si="436"/>
        <v>0</v>
      </c>
      <c r="Z277" s="690">
        <f t="shared" si="436"/>
        <v>0</v>
      </c>
      <c r="AA277" s="690">
        <f t="shared" si="436"/>
        <v>0</v>
      </c>
      <c r="AB277" s="690">
        <f>SUM(P277:AA277)</f>
        <v>0</v>
      </c>
      <c r="AC277" s="690">
        <f>AC274*AVERAGE(AA276,AC276)</f>
        <v>20.7</v>
      </c>
      <c r="AD277" s="690">
        <f t="shared" ref="AD277:AJ277" si="437">AD274*AVERAGE(AC276,AD276)</f>
        <v>91.08</v>
      </c>
      <c r="AE277" s="690">
        <f t="shared" si="437"/>
        <v>225.42299999999997</v>
      </c>
      <c r="AF277" s="690">
        <f t="shared" si="437"/>
        <v>484.65944999999988</v>
      </c>
      <c r="AG277" s="690">
        <f t="shared" si="437"/>
        <v>857.57797125000002</v>
      </c>
      <c r="AH277" s="690">
        <f t="shared" si="437"/>
        <v>1176.1069320000001</v>
      </c>
      <c r="AI277" s="690">
        <f t="shared" si="437"/>
        <v>1427.0097441600001</v>
      </c>
      <c r="AJ277" s="690">
        <f t="shared" si="437"/>
        <v>1696.1030102015998</v>
      </c>
    </row>
    <row r="278" spans="1:36" s="674" customFormat="1" ht="13.15" customHeight="1" x14ac:dyDescent="0.2">
      <c r="A278" s="680" t="s">
        <v>249</v>
      </c>
      <c r="B278" s="681"/>
      <c r="C278" s="686">
        <v>5</v>
      </c>
      <c r="D278" s="686">
        <f t="shared" ref="D278:O278" si="438">C278</f>
        <v>5</v>
      </c>
      <c r="E278" s="686">
        <f t="shared" si="438"/>
        <v>5</v>
      </c>
      <c r="F278" s="686">
        <f t="shared" si="438"/>
        <v>5</v>
      </c>
      <c r="G278" s="686">
        <f t="shared" si="438"/>
        <v>5</v>
      </c>
      <c r="H278" s="686">
        <f t="shared" si="438"/>
        <v>5</v>
      </c>
      <c r="I278" s="686">
        <f t="shared" si="438"/>
        <v>5</v>
      </c>
      <c r="J278" s="686">
        <f t="shared" si="438"/>
        <v>5</v>
      </c>
      <c r="K278" s="686">
        <f t="shared" si="438"/>
        <v>5</v>
      </c>
      <c r="L278" s="686">
        <f t="shared" si="438"/>
        <v>5</v>
      </c>
      <c r="M278" s="686">
        <f t="shared" si="438"/>
        <v>5</v>
      </c>
      <c r="N278" s="686">
        <f t="shared" si="438"/>
        <v>5</v>
      </c>
      <c r="O278" s="685">
        <f t="shared" si="438"/>
        <v>5</v>
      </c>
      <c r="P278" s="686">
        <f>N278</f>
        <v>5</v>
      </c>
      <c r="Q278" s="686">
        <f t="shared" ref="Q278:AB278" si="439">P278</f>
        <v>5</v>
      </c>
      <c r="R278" s="686">
        <f t="shared" si="439"/>
        <v>5</v>
      </c>
      <c r="S278" s="686">
        <f t="shared" si="439"/>
        <v>5</v>
      </c>
      <c r="T278" s="686">
        <f t="shared" si="439"/>
        <v>5</v>
      </c>
      <c r="U278" s="686">
        <f t="shared" si="439"/>
        <v>5</v>
      </c>
      <c r="V278" s="686">
        <f t="shared" si="439"/>
        <v>5</v>
      </c>
      <c r="W278" s="686">
        <f t="shared" si="439"/>
        <v>5</v>
      </c>
      <c r="X278" s="686">
        <f t="shared" si="439"/>
        <v>5</v>
      </c>
      <c r="Y278" s="686">
        <f t="shared" si="439"/>
        <v>5</v>
      </c>
      <c r="Z278" s="686">
        <f t="shared" si="439"/>
        <v>5</v>
      </c>
      <c r="AA278" s="686">
        <f t="shared" si="439"/>
        <v>5</v>
      </c>
      <c r="AB278" s="686">
        <f t="shared" si="439"/>
        <v>5</v>
      </c>
      <c r="AC278" s="686">
        <f>AA278</f>
        <v>5</v>
      </c>
      <c r="AD278" s="686">
        <f t="shared" ref="AD278:AJ278" si="440">AC278</f>
        <v>5</v>
      </c>
      <c r="AE278" s="686">
        <f t="shared" si="440"/>
        <v>5</v>
      </c>
      <c r="AF278" s="686">
        <f t="shared" si="440"/>
        <v>5</v>
      </c>
      <c r="AG278" s="686">
        <f t="shared" si="440"/>
        <v>5</v>
      </c>
      <c r="AH278" s="686">
        <f t="shared" si="440"/>
        <v>5</v>
      </c>
      <c r="AI278" s="686">
        <f t="shared" si="440"/>
        <v>5</v>
      </c>
      <c r="AJ278" s="686">
        <f t="shared" si="440"/>
        <v>5</v>
      </c>
    </row>
    <row r="279" spans="1:36" s="674" customFormat="1" ht="13.15" customHeight="1" x14ac:dyDescent="0.2">
      <c r="A279" s="680" t="s">
        <v>255</v>
      </c>
      <c r="B279" s="681"/>
      <c r="C279" s="690">
        <f t="shared" ref="C279:N279" si="441">C277*C278</f>
        <v>0</v>
      </c>
      <c r="D279" s="690">
        <f t="shared" si="441"/>
        <v>0</v>
      </c>
      <c r="E279" s="690">
        <f t="shared" si="441"/>
        <v>0</v>
      </c>
      <c r="F279" s="690">
        <f t="shared" si="441"/>
        <v>0</v>
      </c>
      <c r="G279" s="690">
        <f t="shared" si="441"/>
        <v>0</v>
      </c>
      <c r="H279" s="690">
        <f t="shared" si="441"/>
        <v>0</v>
      </c>
      <c r="I279" s="690">
        <f t="shared" si="441"/>
        <v>0</v>
      </c>
      <c r="J279" s="690">
        <f t="shared" si="441"/>
        <v>0</v>
      </c>
      <c r="K279" s="690">
        <f t="shared" si="441"/>
        <v>0</v>
      </c>
      <c r="L279" s="690">
        <f t="shared" si="441"/>
        <v>0</v>
      </c>
      <c r="M279" s="690">
        <f t="shared" si="441"/>
        <v>0</v>
      </c>
      <c r="N279" s="690">
        <f t="shared" si="441"/>
        <v>0</v>
      </c>
      <c r="O279" s="691">
        <f>SUM(C279:N279)</f>
        <v>0</v>
      </c>
      <c r="P279" s="690">
        <f t="shared" ref="P279:AA279" si="442">P277*P278</f>
        <v>0</v>
      </c>
      <c r="Q279" s="690">
        <f t="shared" si="442"/>
        <v>0</v>
      </c>
      <c r="R279" s="690">
        <f t="shared" si="442"/>
        <v>0</v>
      </c>
      <c r="S279" s="690">
        <f t="shared" si="442"/>
        <v>0</v>
      </c>
      <c r="T279" s="690">
        <f t="shared" si="442"/>
        <v>0</v>
      </c>
      <c r="U279" s="690">
        <f t="shared" si="442"/>
        <v>0</v>
      </c>
      <c r="V279" s="690">
        <f t="shared" si="442"/>
        <v>0</v>
      </c>
      <c r="W279" s="690">
        <f t="shared" si="442"/>
        <v>0</v>
      </c>
      <c r="X279" s="690">
        <f t="shared" si="442"/>
        <v>0</v>
      </c>
      <c r="Y279" s="690">
        <f t="shared" si="442"/>
        <v>0</v>
      </c>
      <c r="Z279" s="690">
        <f t="shared" si="442"/>
        <v>0</v>
      </c>
      <c r="AA279" s="690">
        <f t="shared" si="442"/>
        <v>0</v>
      </c>
      <c r="AB279" s="691">
        <f>SUM(P279:AA279)</f>
        <v>0</v>
      </c>
      <c r="AC279" s="690">
        <f t="shared" ref="AC279:AJ279" si="443">AC277*AC278</f>
        <v>103.5</v>
      </c>
      <c r="AD279" s="690">
        <f t="shared" si="443"/>
        <v>455.4</v>
      </c>
      <c r="AE279" s="690">
        <f t="shared" si="443"/>
        <v>1127.1149999999998</v>
      </c>
      <c r="AF279" s="690">
        <f t="shared" si="443"/>
        <v>2423.2972499999996</v>
      </c>
      <c r="AG279" s="690">
        <f t="shared" si="443"/>
        <v>4287.8898562499999</v>
      </c>
      <c r="AH279" s="690">
        <f t="shared" si="443"/>
        <v>5880.5346600000012</v>
      </c>
      <c r="AI279" s="690">
        <f t="shared" si="443"/>
        <v>7135.0487208000004</v>
      </c>
      <c r="AJ279" s="690">
        <f t="shared" si="443"/>
        <v>8480.5150510079984</v>
      </c>
    </row>
    <row r="281" spans="1:36" s="674" customFormat="1" ht="13.15" customHeight="1" x14ac:dyDescent="0.2">
      <c r="A281" s="680" t="s">
        <v>253</v>
      </c>
      <c r="B281" s="681"/>
      <c r="C281" s="689">
        <v>0</v>
      </c>
      <c r="D281" s="689">
        <v>0</v>
      </c>
      <c r="E281" s="689">
        <v>0</v>
      </c>
      <c r="F281" s="689">
        <v>0</v>
      </c>
      <c r="G281" s="689">
        <v>0</v>
      </c>
      <c r="H281" s="689">
        <v>0</v>
      </c>
      <c r="I281" s="689">
        <v>0</v>
      </c>
      <c r="J281" s="689">
        <v>0</v>
      </c>
      <c r="K281" s="689">
        <v>0</v>
      </c>
      <c r="L281" s="689">
        <v>0</v>
      </c>
      <c r="M281" s="689">
        <v>0</v>
      </c>
      <c r="N281" s="689">
        <v>0</v>
      </c>
      <c r="O281" s="690">
        <f>N281</f>
        <v>0</v>
      </c>
      <c r="P281" s="689">
        <f>N281</f>
        <v>0</v>
      </c>
      <c r="Q281" s="689">
        <f t="shared" ref="Q281:AB281" si="444">P281</f>
        <v>0</v>
      </c>
      <c r="R281" s="689">
        <f t="shared" si="444"/>
        <v>0</v>
      </c>
      <c r="S281" s="689">
        <f t="shared" si="444"/>
        <v>0</v>
      </c>
      <c r="T281" s="689">
        <f t="shared" si="444"/>
        <v>0</v>
      </c>
      <c r="U281" s="689">
        <f t="shared" si="444"/>
        <v>0</v>
      </c>
      <c r="V281" s="689">
        <f t="shared" si="444"/>
        <v>0</v>
      </c>
      <c r="W281" s="689">
        <f t="shared" si="444"/>
        <v>0</v>
      </c>
      <c r="X281" s="689">
        <f t="shared" si="444"/>
        <v>0</v>
      </c>
      <c r="Y281" s="689">
        <f t="shared" si="444"/>
        <v>0</v>
      </c>
      <c r="Z281" s="689">
        <f t="shared" si="444"/>
        <v>0</v>
      </c>
      <c r="AA281" s="689">
        <f t="shared" si="444"/>
        <v>0</v>
      </c>
      <c r="AB281" s="690">
        <f t="shared" si="444"/>
        <v>0</v>
      </c>
      <c r="AC281" s="689">
        <f>AA281</f>
        <v>0</v>
      </c>
      <c r="AD281" s="689">
        <f t="shared" ref="AD281:AJ281" si="445">AC281</f>
        <v>0</v>
      </c>
      <c r="AE281" s="689">
        <f t="shared" si="445"/>
        <v>0</v>
      </c>
      <c r="AF281" s="689">
        <f t="shared" si="445"/>
        <v>0</v>
      </c>
      <c r="AG281" s="689">
        <f t="shared" si="445"/>
        <v>0</v>
      </c>
      <c r="AH281" s="689">
        <f t="shared" si="445"/>
        <v>0</v>
      </c>
      <c r="AI281" s="689">
        <f t="shared" si="445"/>
        <v>0</v>
      </c>
      <c r="AJ281" s="689">
        <f t="shared" si="445"/>
        <v>0</v>
      </c>
    </row>
    <row r="282" spans="1:36" s="674" customFormat="1" ht="13.15" customHeight="1" x14ac:dyDescent="0.2">
      <c r="A282" s="680" t="s">
        <v>252</v>
      </c>
      <c r="B282" s="681"/>
      <c r="C282" s="689">
        <f>100/12</f>
        <v>8.3333333333333339</v>
      </c>
      <c r="D282" s="689">
        <f t="shared" ref="D282:N282" si="446">100/12</f>
        <v>8.3333333333333339</v>
      </c>
      <c r="E282" s="689">
        <f t="shared" si="446"/>
        <v>8.3333333333333339</v>
      </c>
      <c r="F282" s="689">
        <f t="shared" si="446"/>
        <v>8.3333333333333339</v>
      </c>
      <c r="G282" s="689">
        <f t="shared" si="446"/>
        <v>8.3333333333333339</v>
      </c>
      <c r="H282" s="689">
        <f t="shared" si="446"/>
        <v>8.3333333333333339</v>
      </c>
      <c r="I282" s="689">
        <f t="shared" si="446"/>
        <v>8.3333333333333339</v>
      </c>
      <c r="J282" s="689">
        <f t="shared" si="446"/>
        <v>8.3333333333333339</v>
      </c>
      <c r="K282" s="689">
        <f t="shared" si="446"/>
        <v>8.3333333333333339</v>
      </c>
      <c r="L282" s="689">
        <f t="shared" si="446"/>
        <v>8.3333333333333339</v>
      </c>
      <c r="M282" s="689">
        <f t="shared" si="446"/>
        <v>8.3333333333333339</v>
      </c>
      <c r="N282" s="689">
        <f t="shared" si="446"/>
        <v>8.3333333333333339</v>
      </c>
      <c r="O282" s="683">
        <f>SUM(C282:N282)</f>
        <v>99.999999999999986</v>
      </c>
      <c r="P282" s="689">
        <f t="shared" ref="P282:AA282" si="447">100/12</f>
        <v>8.3333333333333339</v>
      </c>
      <c r="Q282" s="689">
        <f t="shared" si="447"/>
        <v>8.3333333333333339</v>
      </c>
      <c r="R282" s="689">
        <f t="shared" si="447"/>
        <v>8.3333333333333339</v>
      </c>
      <c r="S282" s="689">
        <f t="shared" si="447"/>
        <v>8.3333333333333339</v>
      </c>
      <c r="T282" s="689">
        <f t="shared" si="447"/>
        <v>8.3333333333333339</v>
      </c>
      <c r="U282" s="689">
        <f t="shared" si="447"/>
        <v>8.3333333333333339</v>
      </c>
      <c r="V282" s="689">
        <f t="shared" si="447"/>
        <v>8.3333333333333339</v>
      </c>
      <c r="W282" s="689">
        <f t="shared" si="447"/>
        <v>8.3333333333333339</v>
      </c>
      <c r="X282" s="689">
        <f t="shared" si="447"/>
        <v>8.3333333333333339</v>
      </c>
      <c r="Y282" s="689">
        <f t="shared" si="447"/>
        <v>8.3333333333333339</v>
      </c>
      <c r="Z282" s="689">
        <f t="shared" si="447"/>
        <v>8.3333333333333339</v>
      </c>
      <c r="AA282" s="689">
        <f t="shared" si="447"/>
        <v>8.3333333333333339</v>
      </c>
      <c r="AB282" s="683">
        <f>SUM(P282:AA282)</f>
        <v>99.999999999999986</v>
      </c>
      <c r="AC282" s="689">
        <v>100</v>
      </c>
      <c r="AD282" s="689">
        <v>100</v>
      </c>
      <c r="AE282" s="689">
        <v>100</v>
      </c>
      <c r="AF282" s="689">
        <v>100</v>
      </c>
      <c r="AG282" s="689">
        <v>100</v>
      </c>
      <c r="AH282" s="689">
        <v>100</v>
      </c>
      <c r="AI282" s="689">
        <v>100</v>
      </c>
      <c r="AJ282" s="689">
        <v>100</v>
      </c>
    </row>
    <row r="283" spans="1:36" s="674" customFormat="1" ht="13.15" customHeight="1" x14ac:dyDescent="0.2">
      <c r="A283" s="680" t="s">
        <v>254</v>
      </c>
      <c r="B283" s="681"/>
      <c r="C283" s="690">
        <f t="shared" ref="C283:N283" si="448">C281*C282</f>
        <v>0</v>
      </c>
      <c r="D283" s="690">
        <f t="shared" si="448"/>
        <v>0</v>
      </c>
      <c r="E283" s="690">
        <f t="shared" si="448"/>
        <v>0</v>
      </c>
      <c r="F283" s="690">
        <f t="shared" si="448"/>
        <v>0</v>
      </c>
      <c r="G283" s="690">
        <f t="shared" si="448"/>
        <v>0</v>
      </c>
      <c r="H283" s="690">
        <f t="shared" si="448"/>
        <v>0</v>
      </c>
      <c r="I283" s="690">
        <f t="shared" si="448"/>
        <v>0</v>
      </c>
      <c r="J283" s="690">
        <f t="shared" si="448"/>
        <v>0</v>
      </c>
      <c r="K283" s="690">
        <f t="shared" si="448"/>
        <v>0</v>
      </c>
      <c r="L283" s="690">
        <f t="shared" si="448"/>
        <v>0</v>
      </c>
      <c r="M283" s="690">
        <f t="shared" si="448"/>
        <v>0</v>
      </c>
      <c r="N283" s="690">
        <f t="shared" si="448"/>
        <v>0</v>
      </c>
      <c r="O283" s="683">
        <f>SUM(C283:N283)</f>
        <v>0</v>
      </c>
      <c r="P283" s="690">
        <f t="shared" ref="P283:AA283" si="449">P281*P282</f>
        <v>0</v>
      </c>
      <c r="Q283" s="690">
        <f t="shared" si="449"/>
        <v>0</v>
      </c>
      <c r="R283" s="690">
        <f t="shared" si="449"/>
        <v>0</v>
      </c>
      <c r="S283" s="690">
        <f t="shared" si="449"/>
        <v>0</v>
      </c>
      <c r="T283" s="690">
        <f t="shared" si="449"/>
        <v>0</v>
      </c>
      <c r="U283" s="690">
        <f t="shared" si="449"/>
        <v>0</v>
      </c>
      <c r="V283" s="690">
        <f t="shared" si="449"/>
        <v>0</v>
      </c>
      <c r="W283" s="690">
        <f t="shared" si="449"/>
        <v>0</v>
      </c>
      <c r="X283" s="690">
        <f t="shared" si="449"/>
        <v>0</v>
      </c>
      <c r="Y283" s="690">
        <f t="shared" si="449"/>
        <v>0</v>
      </c>
      <c r="Z283" s="690">
        <f t="shared" si="449"/>
        <v>0</v>
      </c>
      <c r="AA283" s="690">
        <f t="shared" si="449"/>
        <v>0</v>
      </c>
      <c r="AB283" s="690">
        <f>SUM(P283:AA283)</f>
        <v>0</v>
      </c>
      <c r="AC283" s="690">
        <f t="shared" ref="AC283:AJ283" si="450">AC281*AC282</f>
        <v>0</v>
      </c>
      <c r="AD283" s="690">
        <f t="shared" si="450"/>
        <v>0</v>
      </c>
      <c r="AE283" s="690">
        <f t="shared" si="450"/>
        <v>0</v>
      </c>
      <c r="AF283" s="690">
        <f t="shared" si="450"/>
        <v>0</v>
      </c>
      <c r="AG283" s="690">
        <f t="shared" si="450"/>
        <v>0</v>
      </c>
      <c r="AH283" s="690">
        <f t="shared" si="450"/>
        <v>0</v>
      </c>
      <c r="AI283" s="690">
        <f t="shared" si="450"/>
        <v>0</v>
      </c>
      <c r="AJ283" s="690">
        <f t="shared" si="450"/>
        <v>0</v>
      </c>
    </row>
    <row r="284" spans="1:36" s="674" customFormat="1" ht="13.15" customHeight="1" x14ac:dyDescent="0.2">
      <c r="A284" s="680" t="s">
        <v>249</v>
      </c>
      <c r="B284" s="681"/>
      <c r="C284" s="686">
        <f>C278</f>
        <v>5</v>
      </c>
      <c r="D284" s="686">
        <f t="shared" ref="D284:AJ284" si="451">D278</f>
        <v>5</v>
      </c>
      <c r="E284" s="686">
        <f t="shared" si="451"/>
        <v>5</v>
      </c>
      <c r="F284" s="686">
        <f t="shared" si="451"/>
        <v>5</v>
      </c>
      <c r="G284" s="686">
        <f t="shared" si="451"/>
        <v>5</v>
      </c>
      <c r="H284" s="686">
        <f t="shared" si="451"/>
        <v>5</v>
      </c>
      <c r="I284" s="686">
        <f t="shared" si="451"/>
        <v>5</v>
      </c>
      <c r="J284" s="686">
        <f t="shared" si="451"/>
        <v>5</v>
      </c>
      <c r="K284" s="686">
        <f t="shared" si="451"/>
        <v>5</v>
      </c>
      <c r="L284" s="686">
        <f t="shared" si="451"/>
        <v>5</v>
      </c>
      <c r="M284" s="686">
        <f t="shared" si="451"/>
        <v>5</v>
      </c>
      <c r="N284" s="686">
        <f t="shared" si="451"/>
        <v>5</v>
      </c>
      <c r="O284" s="686">
        <f t="shared" si="451"/>
        <v>5</v>
      </c>
      <c r="P284" s="686">
        <f t="shared" si="451"/>
        <v>5</v>
      </c>
      <c r="Q284" s="686">
        <f t="shared" si="451"/>
        <v>5</v>
      </c>
      <c r="R284" s="686">
        <f t="shared" si="451"/>
        <v>5</v>
      </c>
      <c r="S284" s="686">
        <f t="shared" si="451"/>
        <v>5</v>
      </c>
      <c r="T284" s="686">
        <f t="shared" si="451"/>
        <v>5</v>
      </c>
      <c r="U284" s="686">
        <f t="shared" si="451"/>
        <v>5</v>
      </c>
      <c r="V284" s="686">
        <f t="shared" si="451"/>
        <v>5</v>
      </c>
      <c r="W284" s="686">
        <f t="shared" si="451"/>
        <v>5</v>
      </c>
      <c r="X284" s="686">
        <f t="shared" si="451"/>
        <v>5</v>
      </c>
      <c r="Y284" s="686">
        <f t="shared" si="451"/>
        <v>5</v>
      </c>
      <c r="Z284" s="686">
        <f t="shared" si="451"/>
        <v>5</v>
      </c>
      <c r="AA284" s="686">
        <f t="shared" si="451"/>
        <v>5</v>
      </c>
      <c r="AB284" s="686">
        <f t="shared" si="451"/>
        <v>5</v>
      </c>
      <c r="AC284" s="686">
        <f t="shared" si="451"/>
        <v>5</v>
      </c>
      <c r="AD284" s="686">
        <f t="shared" si="451"/>
        <v>5</v>
      </c>
      <c r="AE284" s="686">
        <f t="shared" si="451"/>
        <v>5</v>
      </c>
      <c r="AF284" s="686">
        <f t="shared" si="451"/>
        <v>5</v>
      </c>
      <c r="AG284" s="686">
        <f t="shared" si="451"/>
        <v>5</v>
      </c>
      <c r="AH284" s="686">
        <f t="shared" si="451"/>
        <v>5</v>
      </c>
      <c r="AI284" s="686">
        <f t="shared" si="451"/>
        <v>5</v>
      </c>
      <c r="AJ284" s="686">
        <f t="shared" si="451"/>
        <v>5</v>
      </c>
    </row>
    <row r="285" spans="1:36" s="674" customFormat="1" ht="13.15" customHeight="1" x14ac:dyDescent="0.2">
      <c r="A285" s="680" t="s">
        <v>255</v>
      </c>
      <c r="B285" s="681"/>
      <c r="C285" s="690">
        <f t="shared" ref="C285:N285" si="452">C283*C284</f>
        <v>0</v>
      </c>
      <c r="D285" s="690">
        <f t="shared" si="452"/>
        <v>0</v>
      </c>
      <c r="E285" s="690">
        <f t="shared" si="452"/>
        <v>0</v>
      </c>
      <c r="F285" s="690">
        <f t="shared" si="452"/>
        <v>0</v>
      </c>
      <c r="G285" s="690">
        <f t="shared" si="452"/>
        <v>0</v>
      </c>
      <c r="H285" s="690">
        <f t="shared" si="452"/>
        <v>0</v>
      </c>
      <c r="I285" s="690">
        <f t="shared" si="452"/>
        <v>0</v>
      </c>
      <c r="J285" s="690">
        <f t="shared" si="452"/>
        <v>0</v>
      </c>
      <c r="K285" s="690">
        <f t="shared" si="452"/>
        <v>0</v>
      </c>
      <c r="L285" s="690">
        <f t="shared" si="452"/>
        <v>0</v>
      </c>
      <c r="M285" s="690">
        <f t="shared" si="452"/>
        <v>0</v>
      </c>
      <c r="N285" s="690">
        <f t="shared" si="452"/>
        <v>0</v>
      </c>
      <c r="O285" s="691">
        <f>SUM(C285:N285)</f>
        <v>0</v>
      </c>
      <c r="P285" s="690">
        <f t="shared" ref="P285:AA285" si="453">P283*P284</f>
        <v>0</v>
      </c>
      <c r="Q285" s="690">
        <f t="shared" si="453"/>
        <v>0</v>
      </c>
      <c r="R285" s="690">
        <f t="shared" si="453"/>
        <v>0</v>
      </c>
      <c r="S285" s="690">
        <f t="shared" si="453"/>
        <v>0</v>
      </c>
      <c r="T285" s="690">
        <f t="shared" si="453"/>
        <v>0</v>
      </c>
      <c r="U285" s="690">
        <f t="shared" si="453"/>
        <v>0</v>
      </c>
      <c r="V285" s="690">
        <f t="shared" si="453"/>
        <v>0</v>
      </c>
      <c r="W285" s="690">
        <f t="shared" si="453"/>
        <v>0</v>
      </c>
      <c r="X285" s="690">
        <f t="shared" si="453"/>
        <v>0</v>
      </c>
      <c r="Y285" s="690">
        <f t="shared" si="453"/>
        <v>0</v>
      </c>
      <c r="Z285" s="690">
        <f t="shared" si="453"/>
        <v>0</v>
      </c>
      <c r="AA285" s="690">
        <f t="shared" si="453"/>
        <v>0</v>
      </c>
      <c r="AB285" s="691">
        <f>SUM(P285:AA285)</f>
        <v>0</v>
      </c>
      <c r="AC285" s="690">
        <f t="shared" ref="AC285:AJ285" si="454">AC283*AC284</f>
        <v>0</v>
      </c>
      <c r="AD285" s="690">
        <f t="shared" si="454"/>
        <v>0</v>
      </c>
      <c r="AE285" s="690">
        <f t="shared" si="454"/>
        <v>0</v>
      </c>
      <c r="AF285" s="690">
        <f t="shared" si="454"/>
        <v>0</v>
      </c>
      <c r="AG285" s="690">
        <f t="shared" si="454"/>
        <v>0</v>
      </c>
      <c r="AH285" s="690">
        <f t="shared" si="454"/>
        <v>0</v>
      </c>
      <c r="AI285" s="690">
        <f t="shared" si="454"/>
        <v>0</v>
      </c>
      <c r="AJ285" s="690">
        <f t="shared" si="454"/>
        <v>0</v>
      </c>
    </row>
    <row r="286" spans="1:36" s="674" customFormat="1" ht="13.15" customHeight="1" x14ac:dyDescent="0.2">
      <c r="B286" s="681"/>
      <c r="C286" s="682"/>
      <c r="D286" s="682"/>
      <c r="E286" s="682"/>
      <c r="F286" s="682"/>
      <c r="G286" s="682"/>
      <c r="H286" s="682"/>
      <c r="I286" s="682"/>
      <c r="J286" s="682"/>
      <c r="K286" s="682"/>
      <c r="L286" s="682"/>
      <c r="M286" s="682"/>
      <c r="N286" s="682"/>
      <c r="O286" s="683"/>
      <c r="P286" s="682"/>
      <c r="Q286" s="682"/>
      <c r="R286" s="682"/>
      <c r="S286" s="682"/>
      <c r="T286" s="682"/>
      <c r="U286" s="682"/>
      <c r="V286" s="682"/>
      <c r="W286" s="682"/>
      <c r="X286" s="682"/>
      <c r="Y286" s="682"/>
      <c r="Z286" s="682"/>
      <c r="AA286" s="682"/>
      <c r="AB286" s="683"/>
      <c r="AC286" s="683"/>
      <c r="AD286" s="683"/>
      <c r="AE286" s="683"/>
    </row>
    <row r="287" spans="1:36" s="674" customFormat="1" ht="13.15" customHeight="1" x14ac:dyDescent="0.2">
      <c r="A287" s="680" t="s">
        <v>256</v>
      </c>
      <c r="B287" s="681"/>
      <c r="C287" s="689">
        <v>0</v>
      </c>
      <c r="D287" s="689">
        <v>0</v>
      </c>
      <c r="E287" s="689">
        <v>0</v>
      </c>
      <c r="F287" s="689">
        <v>0</v>
      </c>
      <c r="G287" s="689">
        <v>0</v>
      </c>
      <c r="H287" s="689">
        <v>0</v>
      </c>
      <c r="I287" s="689">
        <v>0</v>
      </c>
      <c r="J287" s="689">
        <v>0</v>
      </c>
      <c r="K287" s="689">
        <v>0</v>
      </c>
      <c r="L287" s="689">
        <v>0</v>
      </c>
      <c r="M287" s="689">
        <v>0</v>
      </c>
      <c r="N287" s="689">
        <v>0</v>
      </c>
      <c r="O287" s="690">
        <f>N287</f>
        <v>0</v>
      </c>
      <c r="P287" s="689">
        <f>N287</f>
        <v>0</v>
      </c>
      <c r="Q287" s="689">
        <f t="shared" ref="Q287:AB287" si="455">P287</f>
        <v>0</v>
      </c>
      <c r="R287" s="689">
        <f t="shared" si="455"/>
        <v>0</v>
      </c>
      <c r="S287" s="689">
        <f t="shared" si="455"/>
        <v>0</v>
      </c>
      <c r="T287" s="689">
        <f t="shared" si="455"/>
        <v>0</v>
      </c>
      <c r="U287" s="689">
        <f t="shared" si="455"/>
        <v>0</v>
      </c>
      <c r="V287" s="689">
        <f t="shared" si="455"/>
        <v>0</v>
      </c>
      <c r="W287" s="689">
        <f t="shared" si="455"/>
        <v>0</v>
      </c>
      <c r="X287" s="689">
        <f t="shared" si="455"/>
        <v>0</v>
      </c>
      <c r="Y287" s="689">
        <f t="shared" si="455"/>
        <v>0</v>
      </c>
      <c r="Z287" s="689">
        <f t="shared" si="455"/>
        <v>0</v>
      </c>
      <c r="AA287" s="689">
        <f t="shared" si="455"/>
        <v>0</v>
      </c>
      <c r="AB287" s="690">
        <f t="shared" si="455"/>
        <v>0</v>
      </c>
      <c r="AC287" s="689">
        <f>AA287</f>
        <v>0</v>
      </c>
      <c r="AD287" s="689">
        <f t="shared" ref="AD287:AJ287" si="456">AC287</f>
        <v>0</v>
      </c>
      <c r="AE287" s="689">
        <f t="shared" si="456"/>
        <v>0</v>
      </c>
      <c r="AF287" s="689">
        <f t="shared" si="456"/>
        <v>0</v>
      </c>
      <c r="AG287" s="689">
        <f t="shared" si="456"/>
        <v>0</v>
      </c>
      <c r="AH287" s="689">
        <f t="shared" si="456"/>
        <v>0</v>
      </c>
      <c r="AI287" s="689">
        <f t="shared" si="456"/>
        <v>0</v>
      </c>
      <c r="AJ287" s="689">
        <f t="shared" si="456"/>
        <v>0</v>
      </c>
    </row>
    <row r="288" spans="1:36" s="674" customFormat="1" ht="13.15" customHeight="1" x14ac:dyDescent="0.2">
      <c r="A288" s="680" t="s">
        <v>252</v>
      </c>
      <c r="B288" s="681"/>
      <c r="C288" s="689">
        <f>300/12</f>
        <v>25</v>
      </c>
      <c r="D288" s="689">
        <f t="shared" ref="D288:N288" si="457">300/12</f>
        <v>25</v>
      </c>
      <c r="E288" s="689">
        <f t="shared" si="457"/>
        <v>25</v>
      </c>
      <c r="F288" s="689">
        <f t="shared" si="457"/>
        <v>25</v>
      </c>
      <c r="G288" s="689">
        <f t="shared" si="457"/>
        <v>25</v>
      </c>
      <c r="H288" s="689">
        <f t="shared" si="457"/>
        <v>25</v>
      </c>
      <c r="I288" s="689">
        <f t="shared" si="457"/>
        <v>25</v>
      </c>
      <c r="J288" s="689">
        <f t="shared" si="457"/>
        <v>25</v>
      </c>
      <c r="K288" s="689">
        <f t="shared" si="457"/>
        <v>25</v>
      </c>
      <c r="L288" s="689">
        <f t="shared" si="457"/>
        <v>25</v>
      </c>
      <c r="M288" s="689">
        <f t="shared" si="457"/>
        <v>25</v>
      </c>
      <c r="N288" s="689">
        <f t="shared" si="457"/>
        <v>25</v>
      </c>
      <c r="O288" s="683">
        <f>SUM(C288:N288)</f>
        <v>300</v>
      </c>
      <c r="P288" s="689">
        <f>300/12</f>
        <v>25</v>
      </c>
      <c r="Q288" s="689">
        <f t="shared" ref="Q288:AA288" si="458">300/12</f>
        <v>25</v>
      </c>
      <c r="R288" s="689">
        <f t="shared" si="458"/>
        <v>25</v>
      </c>
      <c r="S288" s="689">
        <f t="shared" si="458"/>
        <v>25</v>
      </c>
      <c r="T288" s="689">
        <f t="shared" si="458"/>
        <v>25</v>
      </c>
      <c r="U288" s="689">
        <f t="shared" si="458"/>
        <v>25</v>
      </c>
      <c r="V288" s="689">
        <f t="shared" si="458"/>
        <v>25</v>
      </c>
      <c r="W288" s="689">
        <f t="shared" si="458"/>
        <v>25</v>
      </c>
      <c r="X288" s="689">
        <f t="shared" si="458"/>
        <v>25</v>
      </c>
      <c r="Y288" s="689">
        <f t="shared" si="458"/>
        <v>25</v>
      </c>
      <c r="Z288" s="689">
        <f t="shared" si="458"/>
        <v>25</v>
      </c>
      <c r="AA288" s="689">
        <f t="shared" si="458"/>
        <v>25</v>
      </c>
      <c r="AB288" s="683">
        <f>SUM(P288:AA288)</f>
        <v>300</v>
      </c>
      <c r="AC288" s="689">
        <v>300</v>
      </c>
      <c r="AD288" s="689">
        <v>300</v>
      </c>
      <c r="AE288" s="689">
        <v>300</v>
      </c>
      <c r="AF288" s="689">
        <v>300</v>
      </c>
      <c r="AG288" s="689">
        <v>300</v>
      </c>
      <c r="AH288" s="689">
        <v>300</v>
      </c>
      <c r="AI288" s="689">
        <v>300</v>
      </c>
      <c r="AJ288" s="689">
        <v>300</v>
      </c>
    </row>
    <row r="289" spans="1:37" s="674" customFormat="1" ht="13.15" customHeight="1" x14ac:dyDescent="0.2">
      <c r="A289" s="680" t="s">
        <v>254</v>
      </c>
      <c r="B289" s="681"/>
      <c r="C289" s="690">
        <f t="shared" ref="C289:N289" si="459">C287*C288</f>
        <v>0</v>
      </c>
      <c r="D289" s="690">
        <f t="shared" si="459"/>
        <v>0</v>
      </c>
      <c r="E289" s="690">
        <f t="shared" si="459"/>
        <v>0</v>
      </c>
      <c r="F289" s="690">
        <f t="shared" si="459"/>
        <v>0</v>
      </c>
      <c r="G289" s="690">
        <f t="shared" si="459"/>
        <v>0</v>
      </c>
      <c r="H289" s="690">
        <f t="shared" si="459"/>
        <v>0</v>
      </c>
      <c r="I289" s="690">
        <f t="shared" si="459"/>
        <v>0</v>
      </c>
      <c r="J289" s="690">
        <f t="shared" si="459"/>
        <v>0</v>
      </c>
      <c r="K289" s="690">
        <f t="shared" si="459"/>
        <v>0</v>
      </c>
      <c r="L289" s="690">
        <f t="shared" si="459"/>
        <v>0</v>
      </c>
      <c r="M289" s="690">
        <f t="shared" si="459"/>
        <v>0</v>
      </c>
      <c r="N289" s="690">
        <f t="shared" si="459"/>
        <v>0</v>
      </c>
      <c r="O289" s="683">
        <f>SUM(C289:N289)</f>
        <v>0</v>
      </c>
      <c r="P289" s="690">
        <f t="shared" ref="P289:AA289" si="460">P287*P288</f>
        <v>0</v>
      </c>
      <c r="Q289" s="690">
        <f t="shared" si="460"/>
        <v>0</v>
      </c>
      <c r="R289" s="690">
        <f t="shared" si="460"/>
        <v>0</v>
      </c>
      <c r="S289" s="690">
        <f t="shared" si="460"/>
        <v>0</v>
      </c>
      <c r="T289" s="690">
        <f t="shared" si="460"/>
        <v>0</v>
      </c>
      <c r="U289" s="690">
        <f t="shared" si="460"/>
        <v>0</v>
      </c>
      <c r="V289" s="690">
        <f t="shared" si="460"/>
        <v>0</v>
      </c>
      <c r="W289" s="690">
        <f t="shared" si="460"/>
        <v>0</v>
      </c>
      <c r="X289" s="690">
        <f t="shared" si="460"/>
        <v>0</v>
      </c>
      <c r="Y289" s="690">
        <f t="shared" si="460"/>
        <v>0</v>
      </c>
      <c r="Z289" s="690">
        <f t="shared" si="460"/>
        <v>0</v>
      </c>
      <c r="AA289" s="690">
        <f t="shared" si="460"/>
        <v>0</v>
      </c>
      <c r="AB289" s="683">
        <f>SUM(P289:AA289)</f>
        <v>0</v>
      </c>
      <c r="AC289" s="690">
        <f t="shared" ref="AC289:AJ289" si="461">AC287*AC288</f>
        <v>0</v>
      </c>
      <c r="AD289" s="690">
        <f t="shared" si="461"/>
        <v>0</v>
      </c>
      <c r="AE289" s="690">
        <f t="shared" si="461"/>
        <v>0</v>
      </c>
      <c r="AF289" s="690">
        <f t="shared" si="461"/>
        <v>0</v>
      </c>
      <c r="AG289" s="690">
        <f t="shared" si="461"/>
        <v>0</v>
      </c>
      <c r="AH289" s="690">
        <f t="shared" si="461"/>
        <v>0</v>
      </c>
      <c r="AI289" s="690">
        <f t="shared" si="461"/>
        <v>0</v>
      </c>
      <c r="AJ289" s="690">
        <f t="shared" si="461"/>
        <v>0</v>
      </c>
    </row>
    <row r="290" spans="1:37" s="674" customFormat="1" ht="13.15" customHeight="1" x14ac:dyDescent="0.2">
      <c r="A290" s="680" t="s">
        <v>249</v>
      </c>
      <c r="B290" s="681"/>
      <c r="C290" s="686">
        <f>C278</f>
        <v>5</v>
      </c>
      <c r="D290" s="686">
        <f t="shared" ref="D290:AJ290" si="462">D278</f>
        <v>5</v>
      </c>
      <c r="E290" s="686">
        <f t="shared" si="462"/>
        <v>5</v>
      </c>
      <c r="F290" s="686">
        <f t="shared" si="462"/>
        <v>5</v>
      </c>
      <c r="G290" s="686">
        <f t="shared" si="462"/>
        <v>5</v>
      </c>
      <c r="H290" s="686">
        <f t="shared" si="462"/>
        <v>5</v>
      </c>
      <c r="I290" s="686">
        <f t="shared" si="462"/>
        <v>5</v>
      </c>
      <c r="J290" s="686">
        <f t="shared" si="462"/>
        <v>5</v>
      </c>
      <c r="K290" s="686">
        <f t="shared" si="462"/>
        <v>5</v>
      </c>
      <c r="L290" s="686">
        <f t="shared" si="462"/>
        <v>5</v>
      </c>
      <c r="M290" s="686">
        <f t="shared" si="462"/>
        <v>5</v>
      </c>
      <c r="N290" s="686">
        <f t="shared" si="462"/>
        <v>5</v>
      </c>
      <c r="O290" s="686">
        <f t="shared" si="462"/>
        <v>5</v>
      </c>
      <c r="P290" s="686">
        <f t="shared" si="462"/>
        <v>5</v>
      </c>
      <c r="Q290" s="686">
        <f t="shared" si="462"/>
        <v>5</v>
      </c>
      <c r="R290" s="686">
        <f t="shared" si="462"/>
        <v>5</v>
      </c>
      <c r="S290" s="686">
        <f t="shared" si="462"/>
        <v>5</v>
      </c>
      <c r="T290" s="686">
        <f t="shared" si="462"/>
        <v>5</v>
      </c>
      <c r="U290" s="686">
        <f t="shared" si="462"/>
        <v>5</v>
      </c>
      <c r="V290" s="686">
        <f t="shared" si="462"/>
        <v>5</v>
      </c>
      <c r="W290" s="686">
        <f t="shared" si="462"/>
        <v>5</v>
      </c>
      <c r="X290" s="686">
        <f t="shared" si="462"/>
        <v>5</v>
      </c>
      <c r="Y290" s="686">
        <f t="shared" si="462"/>
        <v>5</v>
      </c>
      <c r="Z290" s="686">
        <f t="shared" si="462"/>
        <v>5</v>
      </c>
      <c r="AA290" s="686">
        <f t="shared" si="462"/>
        <v>5</v>
      </c>
      <c r="AB290" s="686">
        <f t="shared" si="462"/>
        <v>5</v>
      </c>
      <c r="AC290" s="686">
        <f t="shared" si="462"/>
        <v>5</v>
      </c>
      <c r="AD290" s="686">
        <f t="shared" si="462"/>
        <v>5</v>
      </c>
      <c r="AE290" s="686">
        <f t="shared" si="462"/>
        <v>5</v>
      </c>
      <c r="AF290" s="686">
        <f t="shared" si="462"/>
        <v>5</v>
      </c>
      <c r="AG290" s="686">
        <f t="shared" si="462"/>
        <v>5</v>
      </c>
      <c r="AH290" s="686">
        <f t="shared" si="462"/>
        <v>5</v>
      </c>
      <c r="AI290" s="686">
        <f t="shared" si="462"/>
        <v>5</v>
      </c>
      <c r="AJ290" s="686">
        <f t="shared" si="462"/>
        <v>5</v>
      </c>
    </row>
    <row r="291" spans="1:37" s="674" customFormat="1" ht="13.15" customHeight="1" x14ac:dyDescent="0.2">
      <c r="A291" s="680" t="s">
        <v>255</v>
      </c>
      <c r="B291" s="681"/>
      <c r="C291" s="690">
        <f t="shared" ref="C291:N291" si="463">C289*C290</f>
        <v>0</v>
      </c>
      <c r="D291" s="690">
        <f t="shared" si="463"/>
        <v>0</v>
      </c>
      <c r="E291" s="690">
        <f t="shared" si="463"/>
        <v>0</v>
      </c>
      <c r="F291" s="690">
        <f t="shared" si="463"/>
        <v>0</v>
      </c>
      <c r="G291" s="690">
        <f t="shared" si="463"/>
        <v>0</v>
      </c>
      <c r="H291" s="690">
        <f t="shared" si="463"/>
        <v>0</v>
      </c>
      <c r="I291" s="690">
        <f t="shared" si="463"/>
        <v>0</v>
      </c>
      <c r="J291" s="690">
        <f t="shared" si="463"/>
        <v>0</v>
      </c>
      <c r="K291" s="690">
        <f t="shared" si="463"/>
        <v>0</v>
      </c>
      <c r="L291" s="690">
        <f t="shared" si="463"/>
        <v>0</v>
      </c>
      <c r="M291" s="690">
        <f t="shared" si="463"/>
        <v>0</v>
      </c>
      <c r="N291" s="690">
        <f t="shared" si="463"/>
        <v>0</v>
      </c>
      <c r="O291" s="691">
        <f>SUM(C291:N291)</f>
        <v>0</v>
      </c>
      <c r="P291" s="690">
        <f t="shared" ref="P291:AA291" si="464">P289*P290</f>
        <v>0</v>
      </c>
      <c r="Q291" s="690">
        <f t="shared" si="464"/>
        <v>0</v>
      </c>
      <c r="R291" s="690">
        <f t="shared" si="464"/>
        <v>0</v>
      </c>
      <c r="S291" s="690">
        <f t="shared" si="464"/>
        <v>0</v>
      </c>
      <c r="T291" s="690">
        <f t="shared" si="464"/>
        <v>0</v>
      </c>
      <c r="U291" s="690">
        <f t="shared" si="464"/>
        <v>0</v>
      </c>
      <c r="V291" s="690">
        <f t="shared" si="464"/>
        <v>0</v>
      </c>
      <c r="W291" s="690">
        <f t="shared" si="464"/>
        <v>0</v>
      </c>
      <c r="X291" s="690">
        <f t="shared" si="464"/>
        <v>0</v>
      </c>
      <c r="Y291" s="690">
        <f t="shared" si="464"/>
        <v>0</v>
      </c>
      <c r="Z291" s="690">
        <f t="shared" si="464"/>
        <v>0</v>
      </c>
      <c r="AA291" s="690">
        <f t="shared" si="464"/>
        <v>0</v>
      </c>
      <c r="AB291" s="691">
        <f>SUM(P291:AA291)</f>
        <v>0</v>
      </c>
      <c r="AC291" s="690">
        <f t="shared" ref="AC291:AJ291" si="465">AC289*AC290</f>
        <v>0</v>
      </c>
      <c r="AD291" s="690">
        <f t="shared" si="465"/>
        <v>0</v>
      </c>
      <c r="AE291" s="690">
        <f t="shared" si="465"/>
        <v>0</v>
      </c>
      <c r="AF291" s="690">
        <f t="shared" si="465"/>
        <v>0</v>
      </c>
      <c r="AG291" s="690">
        <f t="shared" si="465"/>
        <v>0</v>
      </c>
      <c r="AH291" s="690">
        <f t="shared" si="465"/>
        <v>0</v>
      </c>
      <c r="AI291" s="690">
        <f t="shared" si="465"/>
        <v>0</v>
      </c>
      <c r="AJ291" s="690">
        <f t="shared" si="465"/>
        <v>0</v>
      </c>
    </row>
    <row r="292" spans="1:37" s="674" customFormat="1" ht="13.15" customHeight="1" x14ac:dyDescent="0.2">
      <c r="A292" s="680"/>
      <c r="B292" s="681"/>
      <c r="C292" s="682"/>
      <c r="D292" s="682"/>
      <c r="E292" s="682"/>
      <c r="F292" s="682"/>
      <c r="G292" s="682"/>
      <c r="H292" s="682"/>
      <c r="I292" s="682"/>
      <c r="J292" s="682"/>
      <c r="K292" s="682"/>
      <c r="L292" s="682"/>
      <c r="M292" s="682"/>
      <c r="N292" s="682"/>
      <c r="O292" s="683"/>
      <c r="P292" s="682"/>
      <c r="Q292" s="682"/>
      <c r="R292" s="682"/>
      <c r="S292" s="682"/>
      <c r="T292" s="682"/>
      <c r="U292" s="682"/>
      <c r="V292" s="682"/>
      <c r="W292" s="682"/>
      <c r="X292" s="682"/>
      <c r="Y292" s="682"/>
      <c r="Z292" s="682"/>
      <c r="AA292" s="682"/>
      <c r="AB292" s="683"/>
      <c r="AC292" s="683"/>
      <c r="AD292" s="683"/>
      <c r="AE292" s="683"/>
    </row>
    <row r="293" spans="1:37" s="684" customFormat="1" ht="13.15" customHeight="1" x14ac:dyDescent="0.2">
      <c r="A293" s="676" t="s">
        <v>257</v>
      </c>
      <c r="B293" s="677"/>
      <c r="C293" s="694">
        <f>C279+C285+C291</f>
        <v>0</v>
      </c>
      <c r="D293" s="694">
        <f t="shared" ref="D293:N293" si="466">D279+D285+D291</f>
        <v>0</v>
      </c>
      <c r="E293" s="694">
        <f t="shared" si="466"/>
        <v>0</v>
      </c>
      <c r="F293" s="694">
        <f t="shared" si="466"/>
        <v>0</v>
      </c>
      <c r="G293" s="694">
        <f t="shared" si="466"/>
        <v>0</v>
      </c>
      <c r="H293" s="694">
        <f t="shared" si="466"/>
        <v>0</v>
      </c>
      <c r="I293" s="694">
        <f t="shared" si="466"/>
        <v>0</v>
      </c>
      <c r="J293" s="694">
        <f t="shared" si="466"/>
        <v>0</v>
      </c>
      <c r="K293" s="694">
        <f t="shared" si="466"/>
        <v>0</v>
      </c>
      <c r="L293" s="694">
        <f t="shared" si="466"/>
        <v>0</v>
      </c>
      <c r="M293" s="694">
        <f t="shared" si="466"/>
        <v>0</v>
      </c>
      <c r="N293" s="694">
        <f t="shared" si="466"/>
        <v>0</v>
      </c>
      <c r="O293" s="679">
        <f>SUM(C293:N293)</f>
        <v>0</v>
      </c>
      <c r="P293" s="694">
        <f t="shared" ref="P293:AA293" si="467">P279+P285+P291</f>
        <v>0</v>
      </c>
      <c r="Q293" s="694">
        <f t="shared" si="467"/>
        <v>0</v>
      </c>
      <c r="R293" s="694">
        <f t="shared" si="467"/>
        <v>0</v>
      </c>
      <c r="S293" s="694">
        <f t="shared" si="467"/>
        <v>0</v>
      </c>
      <c r="T293" s="694">
        <f t="shared" si="467"/>
        <v>0</v>
      </c>
      <c r="U293" s="694">
        <f t="shared" si="467"/>
        <v>0</v>
      </c>
      <c r="V293" s="694">
        <f t="shared" si="467"/>
        <v>0</v>
      </c>
      <c r="W293" s="694">
        <f t="shared" si="467"/>
        <v>0</v>
      </c>
      <c r="X293" s="694">
        <f t="shared" si="467"/>
        <v>0</v>
      </c>
      <c r="Y293" s="694">
        <f t="shared" si="467"/>
        <v>0</v>
      </c>
      <c r="Z293" s="694">
        <f t="shared" si="467"/>
        <v>0</v>
      </c>
      <c r="AA293" s="694">
        <f t="shared" si="467"/>
        <v>0</v>
      </c>
      <c r="AB293" s="694">
        <f>SUM(P293:AA293)</f>
        <v>0</v>
      </c>
      <c r="AC293" s="694">
        <f t="shared" ref="AC293:AJ293" si="468">AC279+AC285+AC291</f>
        <v>103.5</v>
      </c>
      <c r="AD293" s="694">
        <f t="shared" si="468"/>
        <v>455.4</v>
      </c>
      <c r="AE293" s="694">
        <f t="shared" si="468"/>
        <v>1127.1149999999998</v>
      </c>
      <c r="AF293" s="694">
        <f t="shared" si="468"/>
        <v>2423.2972499999996</v>
      </c>
      <c r="AG293" s="694">
        <f t="shared" si="468"/>
        <v>4287.8898562499999</v>
      </c>
      <c r="AH293" s="694">
        <f t="shared" si="468"/>
        <v>5880.5346600000012</v>
      </c>
      <c r="AI293" s="694">
        <f t="shared" si="468"/>
        <v>7135.0487208000004</v>
      </c>
      <c r="AJ293" s="694">
        <f t="shared" si="468"/>
        <v>8480.5150510079984</v>
      </c>
    </row>
    <row r="294" spans="1:37" s="674" customFormat="1" ht="13.15" customHeight="1" x14ac:dyDescent="0.2">
      <c r="A294" s="680"/>
      <c r="B294" s="681"/>
      <c r="C294" s="682"/>
      <c r="D294" s="682"/>
      <c r="E294" s="682"/>
      <c r="F294" s="682"/>
      <c r="G294" s="682"/>
      <c r="H294" s="682"/>
      <c r="I294" s="682"/>
      <c r="J294" s="682"/>
      <c r="K294" s="682"/>
      <c r="L294" s="682"/>
      <c r="M294" s="682"/>
      <c r="N294" s="682"/>
      <c r="O294" s="683"/>
      <c r="P294" s="682"/>
      <c r="Q294" s="682"/>
      <c r="R294" s="682"/>
      <c r="S294" s="682"/>
      <c r="T294" s="682"/>
      <c r="U294" s="682"/>
      <c r="V294" s="682"/>
      <c r="W294" s="682"/>
      <c r="X294" s="682"/>
      <c r="Y294" s="682"/>
      <c r="Z294" s="682"/>
      <c r="AA294" s="682"/>
      <c r="AB294" s="683"/>
      <c r="AC294" s="683"/>
      <c r="AD294" s="683"/>
      <c r="AE294" s="683"/>
    </row>
    <row r="295" spans="1:37" s="674" customFormat="1" ht="13.15" customHeight="1" x14ac:dyDescent="0.2">
      <c r="A295" s="680" t="s">
        <v>258</v>
      </c>
      <c r="B295" s="681"/>
      <c r="C295" s="767">
        <f>C$25</f>
        <v>300</v>
      </c>
      <c r="D295" s="767">
        <f t="shared" ref="D295:AJ295" si="469">D$25</f>
        <v>300</v>
      </c>
      <c r="E295" s="767">
        <f t="shared" si="469"/>
        <v>300</v>
      </c>
      <c r="F295" s="767">
        <f t="shared" si="469"/>
        <v>300</v>
      </c>
      <c r="G295" s="767">
        <f t="shared" si="469"/>
        <v>300</v>
      </c>
      <c r="H295" s="767">
        <f t="shared" si="469"/>
        <v>300</v>
      </c>
      <c r="I295" s="767">
        <f t="shared" si="469"/>
        <v>300</v>
      </c>
      <c r="J295" s="767">
        <f t="shared" si="469"/>
        <v>300</v>
      </c>
      <c r="K295" s="767">
        <f t="shared" si="469"/>
        <v>300</v>
      </c>
      <c r="L295" s="767">
        <f t="shared" si="469"/>
        <v>300</v>
      </c>
      <c r="M295" s="767">
        <f t="shared" si="469"/>
        <v>300</v>
      </c>
      <c r="N295" s="767">
        <f t="shared" si="469"/>
        <v>300</v>
      </c>
      <c r="O295" s="767">
        <f t="shared" si="469"/>
        <v>300</v>
      </c>
      <c r="P295" s="767">
        <f t="shared" si="469"/>
        <v>300</v>
      </c>
      <c r="Q295" s="767">
        <f t="shared" si="469"/>
        <v>300</v>
      </c>
      <c r="R295" s="767">
        <f t="shared" si="469"/>
        <v>300</v>
      </c>
      <c r="S295" s="767">
        <f t="shared" si="469"/>
        <v>300</v>
      </c>
      <c r="T295" s="767">
        <f t="shared" si="469"/>
        <v>300</v>
      </c>
      <c r="U295" s="767">
        <f t="shared" si="469"/>
        <v>300</v>
      </c>
      <c r="V295" s="767">
        <f t="shared" si="469"/>
        <v>300</v>
      </c>
      <c r="W295" s="767">
        <f t="shared" si="469"/>
        <v>300</v>
      </c>
      <c r="X295" s="767">
        <f t="shared" si="469"/>
        <v>300</v>
      </c>
      <c r="Y295" s="767">
        <f t="shared" si="469"/>
        <v>300</v>
      </c>
      <c r="Z295" s="767">
        <f t="shared" si="469"/>
        <v>300</v>
      </c>
      <c r="AA295" s="767">
        <f t="shared" si="469"/>
        <v>300</v>
      </c>
      <c r="AB295" s="767">
        <f t="shared" si="469"/>
        <v>300</v>
      </c>
      <c r="AC295" s="767">
        <f t="shared" si="469"/>
        <v>300</v>
      </c>
      <c r="AD295" s="767">
        <f t="shared" si="469"/>
        <v>300</v>
      </c>
      <c r="AE295" s="767">
        <f t="shared" si="469"/>
        <v>300</v>
      </c>
      <c r="AF295" s="767">
        <f t="shared" si="469"/>
        <v>300</v>
      </c>
      <c r="AG295" s="767">
        <f t="shared" si="469"/>
        <v>300</v>
      </c>
      <c r="AH295" s="767">
        <f t="shared" si="469"/>
        <v>300</v>
      </c>
      <c r="AI295" s="767">
        <f t="shared" si="469"/>
        <v>300</v>
      </c>
      <c r="AJ295" s="767">
        <f t="shared" si="469"/>
        <v>300</v>
      </c>
      <c r="AK295" s="693"/>
    </row>
    <row r="296" spans="1:37" s="674" customFormat="1" ht="13.15" customHeight="1" x14ac:dyDescent="0.2">
      <c r="A296" s="680"/>
      <c r="B296" s="681"/>
      <c r="C296" s="682"/>
      <c r="D296" s="682"/>
      <c r="E296" s="682"/>
      <c r="F296" s="682"/>
      <c r="G296" s="682"/>
      <c r="H296" s="682"/>
      <c r="I296" s="682"/>
      <c r="J296" s="682"/>
      <c r="K296" s="682"/>
      <c r="L296" s="682"/>
      <c r="M296" s="682"/>
      <c r="N296" s="682"/>
      <c r="O296" s="683"/>
      <c r="P296" s="682"/>
      <c r="Q296" s="682"/>
      <c r="R296" s="682"/>
      <c r="S296" s="682"/>
      <c r="T296" s="682"/>
      <c r="U296" s="682"/>
      <c r="V296" s="682"/>
      <c r="W296" s="682"/>
      <c r="X296" s="682"/>
      <c r="Y296" s="682"/>
      <c r="Z296" s="682"/>
      <c r="AA296" s="682"/>
      <c r="AB296" s="683"/>
      <c r="AC296" s="683"/>
      <c r="AD296" s="683"/>
      <c r="AE296" s="683"/>
    </row>
    <row r="297" spans="1:37" s="766" customFormat="1" ht="13.15" customHeight="1" x14ac:dyDescent="0.2">
      <c r="A297" s="763" t="s">
        <v>425</v>
      </c>
      <c r="B297" s="764"/>
      <c r="C297" s="765">
        <f>C293*C295</f>
        <v>0</v>
      </c>
      <c r="D297" s="765">
        <f t="shared" ref="D297:N297" si="470">D293*D295</f>
        <v>0</v>
      </c>
      <c r="E297" s="765">
        <f t="shared" si="470"/>
        <v>0</v>
      </c>
      <c r="F297" s="765">
        <f t="shared" si="470"/>
        <v>0</v>
      </c>
      <c r="G297" s="765">
        <f t="shared" si="470"/>
        <v>0</v>
      </c>
      <c r="H297" s="765">
        <f t="shared" si="470"/>
        <v>0</v>
      </c>
      <c r="I297" s="765">
        <f t="shared" si="470"/>
        <v>0</v>
      </c>
      <c r="J297" s="765">
        <f t="shared" si="470"/>
        <v>0</v>
      </c>
      <c r="K297" s="765">
        <f t="shared" si="470"/>
        <v>0</v>
      </c>
      <c r="L297" s="765">
        <f t="shared" si="470"/>
        <v>0</v>
      </c>
      <c r="M297" s="765">
        <f t="shared" si="470"/>
        <v>0</v>
      </c>
      <c r="N297" s="765">
        <f t="shared" si="470"/>
        <v>0</v>
      </c>
      <c r="O297" s="765">
        <f>SUM(C297:N297)</f>
        <v>0</v>
      </c>
      <c r="P297" s="765">
        <f>P293*P295</f>
        <v>0</v>
      </c>
      <c r="Q297" s="765">
        <f t="shared" ref="Q297:AA297" si="471">Q293*Q295</f>
        <v>0</v>
      </c>
      <c r="R297" s="765">
        <f t="shared" si="471"/>
        <v>0</v>
      </c>
      <c r="S297" s="765">
        <f t="shared" si="471"/>
        <v>0</v>
      </c>
      <c r="T297" s="765">
        <f t="shared" si="471"/>
        <v>0</v>
      </c>
      <c r="U297" s="765">
        <f t="shared" si="471"/>
        <v>0</v>
      </c>
      <c r="V297" s="765">
        <f t="shared" si="471"/>
        <v>0</v>
      </c>
      <c r="W297" s="765">
        <f t="shared" si="471"/>
        <v>0</v>
      </c>
      <c r="X297" s="765">
        <f t="shared" si="471"/>
        <v>0</v>
      </c>
      <c r="Y297" s="765">
        <f t="shared" si="471"/>
        <v>0</v>
      </c>
      <c r="Z297" s="765">
        <f t="shared" si="471"/>
        <v>0</v>
      </c>
      <c r="AA297" s="765">
        <f t="shared" si="471"/>
        <v>0</v>
      </c>
      <c r="AB297" s="765">
        <f>SUM(P297:AA297)</f>
        <v>0</v>
      </c>
      <c r="AC297" s="765">
        <f t="shared" ref="AC297:AJ297" si="472">AC293*AC295</f>
        <v>31050</v>
      </c>
      <c r="AD297" s="765">
        <f t="shared" si="472"/>
        <v>136620</v>
      </c>
      <c r="AE297" s="765">
        <f t="shared" si="472"/>
        <v>338134.49999999994</v>
      </c>
      <c r="AF297" s="765">
        <f t="shared" si="472"/>
        <v>726989.17499999993</v>
      </c>
      <c r="AG297" s="765">
        <f t="shared" si="472"/>
        <v>1286366.9568749999</v>
      </c>
      <c r="AH297" s="765">
        <f t="shared" si="472"/>
        <v>1764160.3980000003</v>
      </c>
      <c r="AI297" s="765">
        <f t="shared" si="472"/>
        <v>2140514.6162400004</v>
      </c>
      <c r="AJ297" s="765">
        <f t="shared" si="472"/>
        <v>2544154.5153023996</v>
      </c>
    </row>
    <row r="298" spans="1:37" s="674" customFormat="1" ht="13.15" customHeight="1" x14ac:dyDescent="0.2">
      <c r="A298" s="680"/>
      <c r="B298" s="681"/>
      <c r="C298" s="682"/>
      <c r="D298" s="682"/>
      <c r="E298" s="682"/>
      <c r="F298" s="682"/>
      <c r="G298" s="682"/>
      <c r="H298" s="682"/>
      <c r="I298" s="682"/>
      <c r="J298" s="682"/>
      <c r="K298" s="682"/>
      <c r="L298" s="682"/>
      <c r="M298" s="682"/>
      <c r="N298" s="682"/>
      <c r="O298" s="683"/>
      <c r="P298" s="682"/>
      <c r="Q298" s="682"/>
      <c r="R298" s="682"/>
      <c r="S298" s="682"/>
      <c r="T298" s="682"/>
      <c r="U298" s="682"/>
      <c r="V298" s="682"/>
      <c r="W298" s="682"/>
      <c r="X298" s="682"/>
      <c r="Y298" s="682"/>
      <c r="Z298" s="682"/>
      <c r="AA298" s="682"/>
      <c r="AB298" s="683"/>
      <c r="AC298" s="683"/>
      <c r="AD298" s="683"/>
      <c r="AE298" s="683"/>
    </row>
    <row r="299" spans="1:37" s="674" customFormat="1" ht="13.15" customHeight="1" x14ac:dyDescent="0.2">
      <c r="A299" s="680"/>
      <c r="B299" s="681"/>
      <c r="C299" s="682"/>
      <c r="D299" s="682"/>
      <c r="E299" s="682"/>
      <c r="F299" s="682"/>
      <c r="G299" s="682"/>
      <c r="H299" s="682"/>
      <c r="I299" s="682"/>
      <c r="J299" s="682"/>
      <c r="K299" s="682"/>
      <c r="L299" s="682"/>
      <c r="M299" s="682"/>
      <c r="N299" s="682"/>
      <c r="O299" s="683"/>
      <c r="P299" s="682"/>
      <c r="Q299" s="682"/>
      <c r="R299" s="682"/>
      <c r="S299" s="682"/>
      <c r="T299" s="682"/>
      <c r="U299" s="682"/>
      <c r="V299" s="682"/>
      <c r="W299" s="682"/>
      <c r="X299" s="682"/>
      <c r="Y299" s="682"/>
      <c r="Z299" s="682"/>
      <c r="AA299" s="682"/>
      <c r="AB299" s="683"/>
      <c r="AC299" s="683"/>
      <c r="AD299" s="683"/>
      <c r="AE299" s="683"/>
    </row>
    <row r="300" spans="1:37" s="674" customFormat="1" ht="13.15" customHeight="1" x14ac:dyDescent="0.2">
      <c r="A300" s="676" t="s">
        <v>451</v>
      </c>
      <c r="B300" s="677"/>
      <c r="C300" s="678"/>
      <c r="D300" s="678"/>
      <c r="E300" s="678"/>
      <c r="F300" s="678"/>
      <c r="G300" s="678"/>
      <c r="H300" s="678"/>
      <c r="I300" s="678"/>
      <c r="J300" s="678"/>
      <c r="K300" s="678"/>
      <c r="L300" s="678"/>
      <c r="M300" s="678"/>
      <c r="N300" s="678"/>
      <c r="O300" s="679"/>
      <c r="P300" s="678"/>
      <c r="Q300" s="678"/>
      <c r="R300" s="678"/>
      <c r="S300" s="678"/>
      <c r="T300" s="678"/>
      <c r="U300" s="678"/>
      <c r="V300" s="678"/>
      <c r="W300" s="678"/>
      <c r="X300" s="678"/>
      <c r="Y300" s="678"/>
      <c r="Z300" s="678"/>
      <c r="AA300" s="678"/>
      <c r="AB300" s="679"/>
      <c r="AC300" s="679"/>
      <c r="AD300" s="679"/>
      <c r="AE300" s="679"/>
    </row>
    <row r="301" spans="1:37" s="674" customFormat="1" ht="13.15" customHeight="1" x14ac:dyDescent="0.2">
      <c r="A301" s="674" t="s">
        <v>250</v>
      </c>
      <c r="B301" s="681"/>
      <c r="C301" s="690">
        <f>$O301/12</f>
        <v>958.33333333333337</v>
      </c>
      <c r="D301" s="690">
        <f t="shared" ref="D301:N301" si="473">$O301/12</f>
        <v>958.33333333333337</v>
      </c>
      <c r="E301" s="690">
        <f t="shared" si="473"/>
        <v>958.33333333333337</v>
      </c>
      <c r="F301" s="690">
        <f t="shared" si="473"/>
        <v>958.33333333333337</v>
      </c>
      <c r="G301" s="690">
        <f t="shared" si="473"/>
        <v>958.33333333333337</v>
      </c>
      <c r="H301" s="690">
        <f t="shared" si="473"/>
        <v>958.33333333333337</v>
      </c>
      <c r="I301" s="690">
        <f t="shared" si="473"/>
        <v>958.33333333333337</v>
      </c>
      <c r="J301" s="690">
        <f t="shared" si="473"/>
        <v>958.33333333333337</v>
      </c>
      <c r="K301" s="690">
        <f t="shared" si="473"/>
        <v>958.33333333333337</v>
      </c>
      <c r="L301" s="690">
        <f t="shared" si="473"/>
        <v>958.33333333333337</v>
      </c>
      <c r="M301" s="690">
        <f t="shared" si="473"/>
        <v>958.33333333333337</v>
      </c>
      <c r="N301" s="690">
        <f t="shared" si="473"/>
        <v>958.33333333333337</v>
      </c>
      <c r="O301" s="689">
        <v>11500</v>
      </c>
      <c r="P301" s="690">
        <f>$AB301/12</f>
        <v>1006.25</v>
      </c>
      <c r="Q301" s="690">
        <f t="shared" ref="Q301:AA301" si="474">$AB301/12</f>
        <v>1006.25</v>
      </c>
      <c r="R301" s="690">
        <f t="shared" si="474"/>
        <v>1006.25</v>
      </c>
      <c r="S301" s="690">
        <f t="shared" si="474"/>
        <v>1006.25</v>
      </c>
      <c r="T301" s="690">
        <f t="shared" si="474"/>
        <v>1006.25</v>
      </c>
      <c r="U301" s="690">
        <f t="shared" si="474"/>
        <v>1006.25</v>
      </c>
      <c r="V301" s="690">
        <f t="shared" si="474"/>
        <v>1006.25</v>
      </c>
      <c r="W301" s="690">
        <f t="shared" si="474"/>
        <v>1006.25</v>
      </c>
      <c r="X301" s="690">
        <f t="shared" si="474"/>
        <v>1006.25</v>
      </c>
      <c r="Y301" s="690">
        <f t="shared" si="474"/>
        <v>1006.25</v>
      </c>
      <c r="Z301" s="690">
        <f t="shared" si="474"/>
        <v>1006.25</v>
      </c>
      <c r="AA301" s="690">
        <f t="shared" si="474"/>
        <v>1006.25</v>
      </c>
      <c r="AB301" s="690">
        <f>O301*(1+AB302)</f>
        <v>12075</v>
      </c>
      <c r="AC301" s="690">
        <f t="shared" ref="AC301:AJ301" si="475">AB301*(1+AC302)</f>
        <v>12678.75</v>
      </c>
      <c r="AD301" s="690">
        <f t="shared" si="475"/>
        <v>13185.9</v>
      </c>
      <c r="AE301" s="690">
        <f t="shared" si="475"/>
        <v>13581.477000000001</v>
      </c>
      <c r="AF301" s="690">
        <f t="shared" si="475"/>
        <v>13853.106540000001</v>
      </c>
      <c r="AG301" s="690">
        <f t="shared" si="475"/>
        <v>13991.637605400001</v>
      </c>
      <c r="AH301" s="690">
        <f t="shared" si="475"/>
        <v>13991.637605400001</v>
      </c>
      <c r="AI301" s="690">
        <f t="shared" si="475"/>
        <v>13991.637605400001</v>
      </c>
      <c r="AJ301" s="690">
        <f t="shared" si="475"/>
        <v>13991.637605400001</v>
      </c>
    </row>
    <row r="302" spans="1:37" s="688" customFormat="1" ht="13.15" customHeight="1" x14ac:dyDescent="0.2">
      <c r="A302" s="680" t="s">
        <v>324</v>
      </c>
      <c r="B302" s="681"/>
      <c r="C302" s="687"/>
      <c r="D302" s="687"/>
      <c r="E302" s="687"/>
      <c r="F302" s="687"/>
      <c r="G302" s="687"/>
      <c r="H302" s="687"/>
      <c r="I302" s="687"/>
      <c r="J302" s="687"/>
      <c r="K302" s="687"/>
      <c r="L302" s="687"/>
      <c r="M302" s="687"/>
      <c r="N302" s="687"/>
      <c r="O302" s="692"/>
      <c r="P302" s="687"/>
      <c r="Q302" s="687"/>
      <c r="R302" s="687"/>
      <c r="S302" s="687"/>
      <c r="T302" s="687"/>
      <c r="U302" s="687"/>
      <c r="V302" s="687"/>
      <c r="W302" s="687"/>
      <c r="X302" s="687"/>
      <c r="Y302" s="687"/>
      <c r="Z302" s="687"/>
      <c r="AA302" s="687"/>
      <c r="AB302" s="687">
        <v>0.05</v>
      </c>
      <c r="AC302" s="687">
        <v>0.05</v>
      </c>
      <c r="AD302" s="687">
        <f>AC302-1%</f>
        <v>0.04</v>
      </c>
      <c r="AE302" s="687">
        <f>AD302-1%</f>
        <v>0.03</v>
      </c>
      <c r="AF302" s="687">
        <f>AE302-1%</f>
        <v>1.9999999999999997E-2</v>
      </c>
      <c r="AG302" s="687">
        <f>AF302-1%</f>
        <v>9.9999999999999967E-3</v>
      </c>
      <c r="AH302" s="687">
        <f>AG302-1%</f>
        <v>0</v>
      </c>
      <c r="AI302" s="688">
        <f>AH302</f>
        <v>0</v>
      </c>
      <c r="AJ302" s="688">
        <f>AI302</f>
        <v>0</v>
      </c>
    </row>
    <row r="303" spans="1:37" s="688" customFormat="1" ht="13.15" customHeight="1" x14ac:dyDescent="0.2">
      <c r="A303" s="680" t="s">
        <v>248</v>
      </c>
      <c r="B303" s="681"/>
      <c r="C303" s="687">
        <f t="shared" ref="C303:N303" si="476">C276</f>
        <v>0</v>
      </c>
      <c r="D303" s="687">
        <f t="shared" si="476"/>
        <v>0</v>
      </c>
      <c r="E303" s="687">
        <f t="shared" si="476"/>
        <v>0</v>
      </c>
      <c r="F303" s="687">
        <f t="shared" si="476"/>
        <v>0</v>
      </c>
      <c r="G303" s="687">
        <f t="shared" si="476"/>
        <v>0</v>
      </c>
      <c r="H303" s="687">
        <f t="shared" si="476"/>
        <v>0</v>
      </c>
      <c r="I303" s="687">
        <f t="shared" si="476"/>
        <v>0</v>
      </c>
      <c r="J303" s="687">
        <f t="shared" si="476"/>
        <v>0</v>
      </c>
      <c r="K303" s="687">
        <f t="shared" si="476"/>
        <v>0</v>
      </c>
      <c r="L303" s="687">
        <f t="shared" si="476"/>
        <v>0</v>
      </c>
      <c r="M303" s="687">
        <f t="shared" si="476"/>
        <v>0</v>
      </c>
      <c r="N303" s="687">
        <f t="shared" si="476"/>
        <v>0</v>
      </c>
      <c r="O303" s="692">
        <f>N303</f>
        <v>0</v>
      </c>
      <c r="P303" s="687">
        <v>0</v>
      </c>
      <c r="Q303" s="687">
        <f t="shared" ref="Q303:AB303" si="477">P303</f>
        <v>0</v>
      </c>
      <c r="R303" s="687">
        <f t="shared" si="477"/>
        <v>0</v>
      </c>
      <c r="S303" s="687">
        <f t="shared" si="477"/>
        <v>0</v>
      </c>
      <c r="T303" s="687">
        <f t="shared" si="477"/>
        <v>0</v>
      </c>
      <c r="U303" s="687">
        <f t="shared" si="477"/>
        <v>0</v>
      </c>
      <c r="V303" s="687">
        <f t="shared" si="477"/>
        <v>0</v>
      </c>
      <c r="W303" s="687">
        <f t="shared" si="477"/>
        <v>0</v>
      </c>
      <c r="X303" s="687">
        <f t="shared" si="477"/>
        <v>0</v>
      </c>
      <c r="Y303" s="687">
        <f t="shared" si="477"/>
        <v>0</v>
      </c>
      <c r="Z303" s="687">
        <f t="shared" si="477"/>
        <v>0</v>
      </c>
      <c r="AA303" s="687">
        <f t="shared" si="477"/>
        <v>0</v>
      </c>
      <c r="AB303" s="692">
        <f t="shared" si="477"/>
        <v>0</v>
      </c>
      <c r="AC303" s="687">
        <f>AC276</f>
        <v>6.0000000000000001E-3</v>
      </c>
      <c r="AD303" s="687">
        <f t="shared" ref="AD303:AJ303" si="478">AD276</f>
        <v>1.7999999999999999E-2</v>
      </c>
      <c r="AE303" s="687">
        <f t="shared" si="478"/>
        <v>3.5999999999999997E-2</v>
      </c>
      <c r="AF303" s="687">
        <f t="shared" si="478"/>
        <v>7.1999999999999995E-2</v>
      </c>
      <c r="AG303" s="687">
        <f t="shared" si="478"/>
        <v>0.11</v>
      </c>
      <c r="AH303" s="687">
        <f t="shared" si="478"/>
        <v>0.13</v>
      </c>
      <c r="AI303" s="687">
        <f t="shared" si="478"/>
        <v>0.15</v>
      </c>
      <c r="AJ303" s="687">
        <f t="shared" si="478"/>
        <v>0.16999999999999998</v>
      </c>
    </row>
    <row r="304" spans="1:37" s="674" customFormat="1" ht="13.15" customHeight="1" x14ac:dyDescent="0.2">
      <c r="A304" s="680" t="s">
        <v>251</v>
      </c>
      <c r="B304" s="681"/>
      <c r="C304" s="690">
        <f t="shared" ref="C304:N304" si="479">C301*C303</f>
        <v>0</v>
      </c>
      <c r="D304" s="690">
        <f t="shared" si="479"/>
        <v>0</v>
      </c>
      <c r="E304" s="690">
        <f t="shared" si="479"/>
        <v>0</v>
      </c>
      <c r="F304" s="690">
        <f t="shared" si="479"/>
        <v>0</v>
      </c>
      <c r="G304" s="690">
        <f t="shared" si="479"/>
        <v>0</v>
      </c>
      <c r="H304" s="690">
        <f t="shared" si="479"/>
        <v>0</v>
      </c>
      <c r="I304" s="690">
        <f t="shared" si="479"/>
        <v>0</v>
      </c>
      <c r="J304" s="690">
        <f t="shared" si="479"/>
        <v>0</v>
      </c>
      <c r="K304" s="690">
        <f t="shared" si="479"/>
        <v>0</v>
      </c>
      <c r="L304" s="690">
        <f t="shared" si="479"/>
        <v>0</v>
      </c>
      <c r="M304" s="690">
        <f t="shared" si="479"/>
        <v>0</v>
      </c>
      <c r="N304" s="690">
        <f t="shared" si="479"/>
        <v>0</v>
      </c>
      <c r="O304" s="683">
        <f>SUM(C304:N304)</f>
        <v>0</v>
      </c>
      <c r="P304" s="690">
        <f t="shared" ref="P304:AA304" si="480">P301*P303</f>
        <v>0</v>
      </c>
      <c r="Q304" s="690">
        <f t="shared" si="480"/>
        <v>0</v>
      </c>
      <c r="R304" s="690">
        <f t="shared" si="480"/>
        <v>0</v>
      </c>
      <c r="S304" s="690">
        <f t="shared" si="480"/>
        <v>0</v>
      </c>
      <c r="T304" s="690">
        <f t="shared" si="480"/>
        <v>0</v>
      </c>
      <c r="U304" s="690">
        <f t="shared" si="480"/>
        <v>0</v>
      </c>
      <c r="V304" s="690">
        <f t="shared" si="480"/>
        <v>0</v>
      </c>
      <c r="W304" s="690">
        <f t="shared" si="480"/>
        <v>0</v>
      </c>
      <c r="X304" s="690">
        <f t="shared" si="480"/>
        <v>0</v>
      </c>
      <c r="Y304" s="690">
        <f t="shared" si="480"/>
        <v>0</v>
      </c>
      <c r="Z304" s="690">
        <f t="shared" si="480"/>
        <v>0</v>
      </c>
      <c r="AA304" s="690">
        <f t="shared" si="480"/>
        <v>0</v>
      </c>
      <c r="AB304" s="690">
        <f>SUM(P304:AA304)</f>
        <v>0</v>
      </c>
      <c r="AC304" s="690">
        <f>AC301*AVERAGE(AA303,AC303)</f>
        <v>38.036250000000003</v>
      </c>
      <c r="AD304" s="690">
        <f t="shared" ref="AD304:AJ304" si="481">AD301*AVERAGE(AC303,AD303)</f>
        <v>158.23079999999999</v>
      </c>
      <c r="AE304" s="690">
        <f t="shared" si="481"/>
        <v>366.69987899999995</v>
      </c>
      <c r="AF304" s="690">
        <f t="shared" si="481"/>
        <v>748.06775315999994</v>
      </c>
      <c r="AG304" s="690">
        <f t="shared" si="481"/>
        <v>1273.2390220914001</v>
      </c>
      <c r="AH304" s="690">
        <f t="shared" si="481"/>
        <v>1678.9965126480001</v>
      </c>
      <c r="AI304" s="690">
        <f t="shared" si="481"/>
        <v>1958.8292647560004</v>
      </c>
      <c r="AJ304" s="690">
        <f t="shared" si="481"/>
        <v>2238.6620168639997</v>
      </c>
    </row>
    <row r="305" spans="1:36" s="674" customFormat="1" ht="13.15" customHeight="1" x14ac:dyDescent="0.2">
      <c r="A305" s="680" t="s">
        <v>249</v>
      </c>
      <c r="B305" s="681"/>
      <c r="C305" s="686">
        <v>3</v>
      </c>
      <c r="D305" s="686">
        <f t="shared" ref="D305:O305" si="482">C305</f>
        <v>3</v>
      </c>
      <c r="E305" s="686">
        <f t="shared" si="482"/>
        <v>3</v>
      </c>
      <c r="F305" s="686">
        <f t="shared" si="482"/>
        <v>3</v>
      </c>
      <c r="G305" s="686">
        <f t="shared" si="482"/>
        <v>3</v>
      </c>
      <c r="H305" s="686">
        <f t="shared" si="482"/>
        <v>3</v>
      </c>
      <c r="I305" s="686">
        <f t="shared" si="482"/>
        <v>3</v>
      </c>
      <c r="J305" s="686">
        <f t="shared" si="482"/>
        <v>3</v>
      </c>
      <c r="K305" s="686">
        <f t="shared" si="482"/>
        <v>3</v>
      </c>
      <c r="L305" s="686">
        <f t="shared" si="482"/>
        <v>3</v>
      </c>
      <c r="M305" s="686">
        <f t="shared" si="482"/>
        <v>3</v>
      </c>
      <c r="N305" s="686">
        <f t="shared" si="482"/>
        <v>3</v>
      </c>
      <c r="O305" s="685">
        <f t="shared" si="482"/>
        <v>3</v>
      </c>
      <c r="P305" s="686">
        <f>N305</f>
        <v>3</v>
      </c>
      <c r="Q305" s="686">
        <f t="shared" ref="Q305:AB305" si="483">P305</f>
        <v>3</v>
      </c>
      <c r="R305" s="686">
        <f t="shared" si="483"/>
        <v>3</v>
      </c>
      <c r="S305" s="686">
        <f t="shared" si="483"/>
        <v>3</v>
      </c>
      <c r="T305" s="686">
        <f t="shared" si="483"/>
        <v>3</v>
      </c>
      <c r="U305" s="686">
        <f t="shared" si="483"/>
        <v>3</v>
      </c>
      <c r="V305" s="686">
        <f t="shared" si="483"/>
        <v>3</v>
      </c>
      <c r="W305" s="686">
        <f t="shared" si="483"/>
        <v>3</v>
      </c>
      <c r="X305" s="686">
        <f t="shared" si="483"/>
        <v>3</v>
      </c>
      <c r="Y305" s="686">
        <f t="shared" si="483"/>
        <v>3</v>
      </c>
      <c r="Z305" s="686">
        <f t="shared" si="483"/>
        <v>3</v>
      </c>
      <c r="AA305" s="686">
        <f t="shared" si="483"/>
        <v>3</v>
      </c>
      <c r="AB305" s="686">
        <f t="shared" si="483"/>
        <v>3</v>
      </c>
      <c r="AC305" s="686">
        <f>AA305</f>
        <v>3</v>
      </c>
      <c r="AD305" s="686">
        <f t="shared" ref="AD305:AJ305" si="484">AC305</f>
        <v>3</v>
      </c>
      <c r="AE305" s="686">
        <f t="shared" si="484"/>
        <v>3</v>
      </c>
      <c r="AF305" s="686">
        <f t="shared" si="484"/>
        <v>3</v>
      </c>
      <c r="AG305" s="686">
        <f t="shared" si="484"/>
        <v>3</v>
      </c>
      <c r="AH305" s="686">
        <f t="shared" si="484"/>
        <v>3</v>
      </c>
      <c r="AI305" s="686">
        <f t="shared" si="484"/>
        <v>3</v>
      </c>
      <c r="AJ305" s="686">
        <f t="shared" si="484"/>
        <v>3</v>
      </c>
    </row>
    <row r="306" spans="1:36" s="674" customFormat="1" ht="13.15" customHeight="1" x14ac:dyDescent="0.2">
      <c r="A306" s="680" t="s">
        <v>255</v>
      </c>
      <c r="B306" s="681"/>
      <c r="C306" s="690">
        <f t="shared" ref="C306:N306" si="485">C304*C305</f>
        <v>0</v>
      </c>
      <c r="D306" s="690">
        <f t="shared" si="485"/>
        <v>0</v>
      </c>
      <c r="E306" s="690">
        <f t="shared" si="485"/>
        <v>0</v>
      </c>
      <c r="F306" s="690">
        <f t="shared" si="485"/>
        <v>0</v>
      </c>
      <c r="G306" s="690">
        <f t="shared" si="485"/>
        <v>0</v>
      </c>
      <c r="H306" s="690">
        <f t="shared" si="485"/>
        <v>0</v>
      </c>
      <c r="I306" s="690">
        <f t="shared" si="485"/>
        <v>0</v>
      </c>
      <c r="J306" s="690">
        <f t="shared" si="485"/>
        <v>0</v>
      </c>
      <c r="K306" s="690">
        <f t="shared" si="485"/>
        <v>0</v>
      </c>
      <c r="L306" s="690">
        <f t="shared" si="485"/>
        <v>0</v>
      </c>
      <c r="M306" s="690">
        <f t="shared" si="485"/>
        <v>0</v>
      </c>
      <c r="N306" s="690">
        <f t="shared" si="485"/>
        <v>0</v>
      </c>
      <c r="O306" s="691">
        <f>SUM(C306:N306)</f>
        <v>0</v>
      </c>
      <c r="P306" s="690">
        <f t="shared" ref="P306:AA306" si="486">P304*P305</f>
        <v>0</v>
      </c>
      <c r="Q306" s="690">
        <f t="shared" si="486"/>
        <v>0</v>
      </c>
      <c r="R306" s="690">
        <f t="shared" si="486"/>
        <v>0</v>
      </c>
      <c r="S306" s="690">
        <f t="shared" si="486"/>
        <v>0</v>
      </c>
      <c r="T306" s="690">
        <f t="shared" si="486"/>
        <v>0</v>
      </c>
      <c r="U306" s="690">
        <f t="shared" si="486"/>
        <v>0</v>
      </c>
      <c r="V306" s="690">
        <f t="shared" si="486"/>
        <v>0</v>
      </c>
      <c r="W306" s="690">
        <f t="shared" si="486"/>
        <v>0</v>
      </c>
      <c r="X306" s="690">
        <f t="shared" si="486"/>
        <v>0</v>
      </c>
      <c r="Y306" s="690">
        <f t="shared" si="486"/>
        <v>0</v>
      </c>
      <c r="Z306" s="690">
        <f t="shared" si="486"/>
        <v>0</v>
      </c>
      <c r="AA306" s="690">
        <f t="shared" si="486"/>
        <v>0</v>
      </c>
      <c r="AB306" s="691">
        <f>SUM(P306:AA306)</f>
        <v>0</v>
      </c>
      <c r="AC306" s="690">
        <f t="shared" ref="AC306:AJ306" si="487">AC304*AC305</f>
        <v>114.10875000000001</v>
      </c>
      <c r="AD306" s="690">
        <f t="shared" si="487"/>
        <v>474.69239999999996</v>
      </c>
      <c r="AE306" s="690">
        <f t="shared" si="487"/>
        <v>1100.0996369999998</v>
      </c>
      <c r="AF306" s="690">
        <f t="shared" si="487"/>
        <v>2244.2032594799998</v>
      </c>
      <c r="AG306" s="690">
        <f t="shared" si="487"/>
        <v>3819.7170662742001</v>
      </c>
      <c r="AH306" s="690">
        <f t="shared" si="487"/>
        <v>5036.9895379440004</v>
      </c>
      <c r="AI306" s="690">
        <f t="shared" si="487"/>
        <v>5876.4877942680014</v>
      </c>
      <c r="AJ306" s="690">
        <f t="shared" si="487"/>
        <v>6715.9860505919987</v>
      </c>
    </row>
    <row r="308" spans="1:36" s="674" customFormat="1" ht="13.15" customHeight="1" x14ac:dyDescent="0.2">
      <c r="A308" s="680" t="s">
        <v>253</v>
      </c>
      <c r="B308" s="681"/>
      <c r="C308" s="689">
        <v>0</v>
      </c>
      <c r="D308" s="689">
        <v>0</v>
      </c>
      <c r="E308" s="689">
        <v>0</v>
      </c>
      <c r="F308" s="689">
        <v>0</v>
      </c>
      <c r="G308" s="689">
        <v>0</v>
      </c>
      <c r="H308" s="689">
        <v>0</v>
      </c>
      <c r="I308" s="689">
        <v>0</v>
      </c>
      <c r="J308" s="689">
        <v>0</v>
      </c>
      <c r="K308" s="689">
        <v>0</v>
      </c>
      <c r="L308" s="689">
        <v>0</v>
      </c>
      <c r="M308" s="689">
        <v>0</v>
      </c>
      <c r="N308" s="689">
        <v>0</v>
      </c>
      <c r="O308" s="690">
        <f>N308</f>
        <v>0</v>
      </c>
      <c r="P308" s="689">
        <f>N308</f>
        <v>0</v>
      </c>
      <c r="Q308" s="689">
        <f t="shared" ref="Q308:AB308" si="488">P308</f>
        <v>0</v>
      </c>
      <c r="R308" s="689">
        <f t="shared" si="488"/>
        <v>0</v>
      </c>
      <c r="S308" s="689">
        <f t="shared" si="488"/>
        <v>0</v>
      </c>
      <c r="T308" s="689">
        <f t="shared" si="488"/>
        <v>0</v>
      </c>
      <c r="U308" s="689">
        <f t="shared" si="488"/>
        <v>0</v>
      </c>
      <c r="V308" s="689">
        <f t="shared" si="488"/>
        <v>0</v>
      </c>
      <c r="W308" s="689">
        <f t="shared" si="488"/>
        <v>0</v>
      </c>
      <c r="X308" s="689">
        <f t="shared" si="488"/>
        <v>0</v>
      </c>
      <c r="Y308" s="689">
        <f t="shared" si="488"/>
        <v>0</v>
      </c>
      <c r="Z308" s="689">
        <f t="shared" si="488"/>
        <v>0</v>
      </c>
      <c r="AA308" s="689">
        <f t="shared" si="488"/>
        <v>0</v>
      </c>
      <c r="AB308" s="690">
        <f t="shared" si="488"/>
        <v>0</v>
      </c>
      <c r="AC308" s="689">
        <f>AA308</f>
        <v>0</v>
      </c>
      <c r="AD308" s="689">
        <f t="shared" ref="AD308:AJ308" si="489">AC308</f>
        <v>0</v>
      </c>
      <c r="AE308" s="689">
        <f t="shared" si="489"/>
        <v>0</v>
      </c>
      <c r="AF308" s="689">
        <f t="shared" si="489"/>
        <v>0</v>
      </c>
      <c r="AG308" s="689">
        <f t="shared" si="489"/>
        <v>0</v>
      </c>
      <c r="AH308" s="689">
        <f t="shared" si="489"/>
        <v>0</v>
      </c>
      <c r="AI308" s="689">
        <f t="shared" si="489"/>
        <v>0</v>
      </c>
      <c r="AJ308" s="689">
        <f t="shared" si="489"/>
        <v>0</v>
      </c>
    </row>
    <row r="309" spans="1:36" s="674" customFormat="1" ht="13.15" customHeight="1" x14ac:dyDescent="0.2">
      <c r="A309" s="680" t="s">
        <v>252</v>
      </c>
      <c r="B309" s="681"/>
      <c r="C309" s="689">
        <f>100/12</f>
        <v>8.3333333333333339</v>
      </c>
      <c r="D309" s="689">
        <f t="shared" ref="D309:N309" si="490">100/12</f>
        <v>8.3333333333333339</v>
      </c>
      <c r="E309" s="689">
        <f t="shared" si="490"/>
        <v>8.3333333333333339</v>
      </c>
      <c r="F309" s="689">
        <f t="shared" si="490"/>
        <v>8.3333333333333339</v>
      </c>
      <c r="G309" s="689">
        <f t="shared" si="490"/>
        <v>8.3333333333333339</v>
      </c>
      <c r="H309" s="689">
        <f t="shared" si="490"/>
        <v>8.3333333333333339</v>
      </c>
      <c r="I309" s="689">
        <f t="shared" si="490"/>
        <v>8.3333333333333339</v>
      </c>
      <c r="J309" s="689">
        <f t="shared" si="490"/>
        <v>8.3333333333333339</v>
      </c>
      <c r="K309" s="689">
        <f t="shared" si="490"/>
        <v>8.3333333333333339</v>
      </c>
      <c r="L309" s="689">
        <f t="shared" si="490"/>
        <v>8.3333333333333339</v>
      </c>
      <c r="M309" s="689">
        <f t="shared" si="490"/>
        <v>8.3333333333333339</v>
      </c>
      <c r="N309" s="689">
        <f t="shared" si="490"/>
        <v>8.3333333333333339</v>
      </c>
      <c r="O309" s="683">
        <f>SUM(C309:N309)</f>
        <v>99.999999999999986</v>
      </c>
      <c r="P309" s="689">
        <f t="shared" ref="P309:AA309" si="491">100/12</f>
        <v>8.3333333333333339</v>
      </c>
      <c r="Q309" s="689">
        <f t="shared" si="491"/>
        <v>8.3333333333333339</v>
      </c>
      <c r="R309" s="689">
        <f t="shared" si="491"/>
        <v>8.3333333333333339</v>
      </c>
      <c r="S309" s="689">
        <f t="shared" si="491"/>
        <v>8.3333333333333339</v>
      </c>
      <c r="T309" s="689">
        <f t="shared" si="491"/>
        <v>8.3333333333333339</v>
      </c>
      <c r="U309" s="689">
        <f t="shared" si="491"/>
        <v>8.3333333333333339</v>
      </c>
      <c r="V309" s="689">
        <f t="shared" si="491"/>
        <v>8.3333333333333339</v>
      </c>
      <c r="W309" s="689">
        <f t="shared" si="491"/>
        <v>8.3333333333333339</v>
      </c>
      <c r="X309" s="689">
        <f t="shared" si="491"/>
        <v>8.3333333333333339</v>
      </c>
      <c r="Y309" s="689">
        <f t="shared" si="491"/>
        <v>8.3333333333333339</v>
      </c>
      <c r="Z309" s="689">
        <f t="shared" si="491"/>
        <v>8.3333333333333339</v>
      </c>
      <c r="AA309" s="689">
        <f t="shared" si="491"/>
        <v>8.3333333333333339</v>
      </c>
      <c r="AB309" s="683">
        <f>SUM(P309:AA309)</f>
        <v>99.999999999999986</v>
      </c>
      <c r="AC309" s="689">
        <v>100</v>
      </c>
      <c r="AD309" s="689">
        <v>100</v>
      </c>
      <c r="AE309" s="689">
        <v>100</v>
      </c>
      <c r="AF309" s="689">
        <v>100</v>
      </c>
      <c r="AG309" s="689">
        <v>100</v>
      </c>
      <c r="AH309" s="689">
        <v>100</v>
      </c>
      <c r="AI309" s="689">
        <v>100</v>
      </c>
      <c r="AJ309" s="689">
        <v>100</v>
      </c>
    </row>
    <row r="310" spans="1:36" s="674" customFormat="1" ht="13.15" customHeight="1" x14ac:dyDescent="0.2">
      <c r="A310" s="680" t="s">
        <v>254</v>
      </c>
      <c r="B310" s="681"/>
      <c r="C310" s="690">
        <f t="shared" ref="C310:N310" si="492">C308*C309</f>
        <v>0</v>
      </c>
      <c r="D310" s="690">
        <f t="shared" si="492"/>
        <v>0</v>
      </c>
      <c r="E310" s="690">
        <f t="shared" si="492"/>
        <v>0</v>
      </c>
      <c r="F310" s="690">
        <f t="shared" si="492"/>
        <v>0</v>
      </c>
      <c r="G310" s="690">
        <f t="shared" si="492"/>
        <v>0</v>
      </c>
      <c r="H310" s="690">
        <f t="shared" si="492"/>
        <v>0</v>
      </c>
      <c r="I310" s="690">
        <f t="shared" si="492"/>
        <v>0</v>
      </c>
      <c r="J310" s="690">
        <f t="shared" si="492"/>
        <v>0</v>
      </c>
      <c r="K310" s="690">
        <f t="shared" si="492"/>
        <v>0</v>
      </c>
      <c r="L310" s="690">
        <f t="shared" si="492"/>
        <v>0</v>
      </c>
      <c r="M310" s="690">
        <f t="shared" si="492"/>
        <v>0</v>
      </c>
      <c r="N310" s="690">
        <f t="shared" si="492"/>
        <v>0</v>
      </c>
      <c r="O310" s="683">
        <f>SUM(C310:N310)</f>
        <v>0</v>
      </c>
      <c r="P310" s="690">
        <f t="shared" ref="P310:AA310" si="493">P308*P309</f>
        <v>0</v>
      </c>
      <c r="Q310" s="690">
        <f t="shared" si="493"/>
        <v>0</v>
      </c>
      <c r="R310" s="690">
        <f t="shared" si="493"/>
        <v>0</v>
      </c>
      <c r="S310" s="690">
        <f t="shared" si="493"/>
        <v>0</v>
      </c>
      <c r="T310" s="690">
        <f t="shared" si="493"/>
        <v>0</v>
      </c>
      <c r="U310" s="690">
        <f t="shared" si="493"/>
        <v>0</v>
      </c>
      <c r="V310" s="690">
        <f t="shared" si="493"/>
        <v>0</v>
      </c>
      <c r="W310" s="690">
        <f t="shared" si="493"/>
        <v>0</v>
      </c>
      <c r="X310" s="690">
        <f t="shared" si="493"/>
        <v>0</v>
      </c>
      <c r="Y310" s="690">
        <f t="shared" si="493"/>
        <v>0</v>
      </c>
      <c r="Z310" s="690">
        <f t="shared" si="493"/>
        <v>0</v>
      </c>
      <c r="AA310" s="690">
        <f t="shared" si="493"/>
        <v>0</v>
      </c>
      <c r="AB310" s="690">
        <f>SUM(P310:AA310)</f>
        <v>0</v>
      </c>
      <c r="AC310" s="690">
        <f t="shared" ref="AC310:AJ310" si="494">AC308*AC309</f>
        <v>0</v>
      </c>
      <c r="AD310" s="690">
        <f t="shared" si="494"/>
        <v>0</v>
      </c>
      <c r="AE310" s="690">
        <f t="shared" si="494"/>
        <v>0</v>
      </c>
      <c r="AF310" s="690">
        <f t="shared" si="494"/>
        <v>0</v>
      </c>
      <c r="AG310" s="690">
        <f t="shared" si="494"/>
        <v>0</v>
      </c>
      <c r="AH310" s="690">
        <f t="shared" si="494"/>
        <v>0</v>
      </c>
      <c r="AI310" s="690">
        <f t="shared" si="494"/>
        <v>0</v>
      </c>
      <c r="AJ310" s="690">
        <f t="shared" si="494"/>
        <v>0</v>
      </c>
    </row>
    <row r="311" spans="1:36" s="674" customFormat="1" ht="13.15" customHeight="1" x14ac:dyDescent="0.2">
      <c r="A311" s="680" t="s">
        <v>249</v>
      </c>
      <c r="B311" s="681"/>
      <c r="C311" s="686">
        <v>3</v>
      </c>
      <c r="D311" s="686">
        <f t="shared" ref="D311:O311" si="495">C311</f>
        <v>3</v>
      </c>
      <c r="E311" s="686">
        <f t="shared" si="495"/>
        <v>3</v>
      </c>
      <c r="F311" s="686">
        <f t="shared" si="495"/>
        <v>3</v>
      </c>
      <c r="G311" s="686">
        <f t="shared" si="495"/>
        <v>3</v>
      </c>
      <c r="H311" s="686">
        <f t="shared" si="495"/>
        <v>3</v>
      </c>
      <c r="I311" s="686">
        <f t="shared" si="495"/>
        <v>3</v>
      </c>
      <c r="J311" s="686">
        <f t="shared" si="495"/>
        <v>3</v>
      </c>
      <c r="K311" s="686">
        <f t="shared" si="495"/>
        <v>3</v>
      </c>
      <c r="L311" s="686">
        <f t="shared" si="495"/>
        <v>3</v>
      </c>
      <c r="M311" s="686">
        <f t="shared" si="495"/>
        <v>3</v>
      </c>
      <c r="N311" s="686">
        <f t="shared" si="495"/>
        <v>3</v>
      </c>
      <c r="O311" s="686">
        <f t="shared" si="495"/>
        <v>3</v>
      </c>
      <c r="P311" s="686">
        <f>N311</f>
        <v>3</v>
      </c>
      <c r="Q311" s="686">
        <f t="shared" ref="Q311:AB311" si="496">P311</f>
        <v>3</v>
      </c>
      <c r="R311" s="686">
        <f t="shared" si="496"/>
        <v>3</v>
      </c>
      <c r="S311" s="686">
        <f t="shared" si="496"/>
        <v>3</v>
      </c>
      <c r="T311" s="686">
        <f t="shared" si="496"/>
        <v>3</v>
      </c>
      <c r="U311" s="686">
        <f t="shared" si="496"/>
        <v>3</v>
      </c>
      <c r="V311" s="686">
        <f t="shared" si="496"/>
        <v>3</v>
      </c>
      <c r="W311" s="686">
        <f t="shared" si="496"/>
        <v>3</v>
      </c>
      <c r="X311" s="686">
        <f t="shared" si="496"/>
        <v>3</v>
      </c>
      <c r="Y311" s="686">
        <f t="shared" si="496"/>
        <v>3</v>
      </c>
      <c r="Z311" s="686">
        <f t="shared" si="496"/>
        <v>3</v>
      </c>
      <c r="AA311" s="686">
        <f t="shared" si="496"/>
        <v>3</v>
      </c>
      <c r="AB311" s="686">
        <f t="shared" si="496"/>
        <v>3</v>
      </c>
      <c r="AC311" s="686">
        <f>AA311</f>
        <v>3</v>
      </c>
      <c r="AD311" s="686">
        <f t="shared" ref="AD311:AJ311" si="497">AC311</f>
        <v>3</v>
      </c>
      <c r="AE311" s="686">
        <f t="shared" si="497"/>
        <v>3</v>
      </c>
      <c r="AF311" s="686">
        <f t="shared" si="497"/>
        <v>3</v>
      </c>
      <c r="AG311" s="686">
        <f t="shared" si="497"/>
        <v>3</v>
      </c>
      <c r="AH311" s="686">
        <f t="shared" si="497"/>
        <v>3</v>
      </c>
      <c r="AI311" s="686">
        <f t="shared" si="497"/>
        <v>3</v>
      </c>
      <c r="AJ311" s="686">
        <f t="shared" si="497"/>
        <v>3</v>
      </c>
    </row>
    <row r="312" spans="1:36" s="674" customFormat="1" ht="13.15" customHeight="1" x14ac:dyDescent="0.2">
      <c r="A312" s="680" t="s">
        <v>255</v>
      </c>
      <c r="B312" s="681"/>
      <c r="C312" s="690">
        <f t="shared" ref="C312:N312" si="498">C310*C311</f>
        <v>0</v>
      </c>
      <c r="D312" s="690">
        <f t="shared" si="498"/>
        <v>0</v>
      </c>
      <c r="E312" s="690">
        <f t="shared" si="498"/>
        <v>0</v>
      </c>
      <c r="F312" s="690">
        <f t="shared" si="498"/>
        <v>0</v>
      </c>
      <c r="G312" s="690">
        <f t="shared" si="498"/>
        <v>0</v>
      </c>
      <c r="H312" s="690">
        <f t="shared" si="498"/>
        <v>0</v>
      </c>
      <c r="I312" s="690">
        <f t="shared" si="498"/>
        <v>0</v>
      </c>
      <c r="J312" s="690">
        <f t="shared" si="498"/>
        <v>0</v>
      </c>
      <c r="K312" s="690">
        <f t="shared" si="498"/>
        <v>0</v>
      </c>
      <c r="L312" s="690">
        <f t="shared" si="498"/>
        <v>0</v>
      </c>
      <c r="M312" s="690">
        <f t="shared" si="498"/>
        <v>0</v>
      </c>
      <c r="N312" s="690">
        <f t="shared" si="498"/>
        <v>0</v>
      </c>
      <c r="O312" s="691">
        <f>SUM(C312:N312)</f>
        <v>0</v>
      </c>
      <c r="P312" s="690">
        <f t="shared" ref="P312:AA312" si="499">P310*P311</f>
        <v>0</v>
      </c>
      <c r="Q312" s="690">
        <f t="shared" si="499"/>
        <v>0</v>
      </c>
      <c r="R312" s="690">
        <f t="shared" si="499"/>
        <v>0</v>
      </c>
      <c r="S312" s="690">
        <f t="shared" si="499"/>
        <v>0</v>
      </c>
      <c r="T312" s="690">
        <f t="shared" si="499"/>
        <v>0</v>
      </c>
      <c r="U312" s="690">
        <f t="shared" si="499"/>
        <v>0</v>
      </c>
      <c r="V312" s="690">
        <f t="shared" si="499"/>
        <v>0</v>
      </c>
      <c r="W312" s="690">
        <f t="shared" si="499"/>
        <v>0</v>
      </c>
      <c r="X312" s="690">
        <f t="shared" si="499"/>
        <v>0</v>
      </c>
      <c r="Y312" s="690">
        <f t="shared" si="499"/>
        <v>0</v>
      </c>
      <c r="Z312" s="690">
        <f t="shared" si="499"/>
        <v>0</v>
      </c>
      <c r="AA312" s="690">
        <f t="shared" si="499"/>
        <v>0</v>
      </c>
      <c r="AB312" s="691">
        <f>SUM(P312:AA312)</f>
        <v>0</v>
      </c>
      <c r="AC312" s="690">
        <f t="shared" ref="AC312:AJ312" si="500">AC310*AC311</f>
        <v>0</v>
      </c>
      <c r="AD312" s="690">
        <f t="shared" si="500"/>
        <v>0</v>
      </c>
      <c r="AE312" s="690">
        <f t="shared" si="500"/>
        <v>0</v>
      </c>
      <c r="AF312" s="690">
        <f t="shared" si="500"/>
        <v>0</v>
      </c>
      <c r="AG312" s="690">
        <f t="shared" si="500"/>
        <v>0</v>
      </c>
      <c r="AH312" s="690">
        <f t="shared" si="500"/>
        <v>0</v>
      </c>
      <c r="AI312" s="690">
        <f t="shared" si="500"/>
        <v>0</v>
      </c>
      <c r="AJ312" s="690">
        <f t="shared" si="500"/>
        <v>0</v>
      </c>
    </row>
    <row r="313" spans="1:36" s="674" customFormat="1" ht="13.15" customHeight="1" x14ac:dyDescent="0.2">
      <c r="B313" s="681"/>
      <c r="C313" s="682"/>
      <c r="D313" s="682"/>
      <c r="E313" s="682"/>
      <c r="F313" s="682"/>
      <c r="G313" s="682"/>
      <c r="H313" s="682"/>
      <c r="I313" s="682"/>
      <c r="J313" s="682"/>
      <c r="K313" s="682"/>
      <c r="L313" s="682"/>
      <c r="M313" s="682"/>
      <c r="N313" s="682"/>
      <c r="O313" s="683"/>
      <c r="P313" s="682"/>
      <c r="Q313" s="682"/>
      <c r="R313" s="682"/>
      <c r="S313" s="682"/>
      <c r="T313" s="682"/>
      <c r="U313" s="682"/>
      <c r="V313" s="682"/>
      <c r="W313" s="682"/>
      <c r="X313" s="682"/>
      <c r="Y313" s="682"/>
      <c r="Z313" s="682"/>
      <c r="AA313" s="682"/>
      <c r="AB313" s="683"/>
      <c r="AC313" s="683"/>
      <c r="AD313" s="683"/>
      <c r="AE313" s="683"/>
    </row>
    <row r="314" spans="1:36" s="674" customFormat="1" ht="13.15" customHeight="1" x14ac:dyDescent="0.2">
      <c r="A314" s="680" t="s">
        <v>256</v>
      </c>
      <c r="B314" s="681"/>
      <c r="C314" s="689">
        <v>0</v>
      </c>
      <c r="D314" s="689">
        <v>0</v>
      </c>
      <c r="E314" s="689">
        <v>0</v>
      </c>
      <c r="F314" s="689">
        <v>0</v>
      </c>
      <c r="G314" s="689">
        <v>0</v>
      </c>
      <c r="H314" s="689">
        <v>0</v>
      </c>
      <c r="I314" s="689">
        <v>0</v>
      </c>
      <c r="J314" s="689">
        <v>0</v>
      </c>
      <c r="K314" s="689">
        <v>0</v>
      </c>
      <c r="L314" s="689">
        <v>0</v>
      </c>
      <c r="M314" s="689">
        <v>0</v>
      </c>
      <c r="N314" s="689">
        <v>0</v>
      </c>
      <c r="O314" s="690">
        <f>N314</f>
        <v>0</v>
      </c>
      <c r="P314" s="689">
        <f>N314</f>
        <v>0</v>
      </c>
      <c r="Q314" s="689">
        <f t="shared" ref="Q314:AB314" si="501">P314</f>
        <v>0</v>
      </c>
      <c r="R314" s="689">
        <f t="shared" si="501"/>
        <v>0</v>
      </c>
      <c r="S314" s="689">
        <f t="shared" si="501"/>
        <v>0</v>
      </c>
      <c r="T314" s="689">
        <f t="shared" si="501"/>
        <v>0</v>
      </c>
      <c r="U314" s="689">
        <f t="shared" si="501"/>
        <v>0</v>
      </c>
      <c r="V314" s="689">
        <f t="shared" si="501"/>
        <v>0</v>
      </c>
      <c r="W314" s="689">
        <f t="shared" si="501"/>
        <v>0</v>
      </c>
      <c r="X314" s="689">
        <f t="shared" si="501"/>
        <v>0</v>
      </c>
      <c r="Y314" s="689">
        <f t="shared" si="501"/>
        <v>0</v>
      </c>
      <c r="Z314" s="689">
        <f t="shared" si="501"/>
        <v>0</v>
      </c>
      <c r="AA314" s="689">
        <f t="shared" si="501"/>
        <v>0</v>
      </c>
      <c r="AB314" s="690">
        <f t="shared" si="501"/>
        <v>0</v>
      </c>
      <c r="AC314" s="689">
        <f>AA314</f>
        <v>0</v>
      </c>
      <c r="AD314" s="689">
        <f t="shared" ref="AD314:AJ314" si="502">AC314</f>
        <v>0</v>
      </c>
      <c r="AE314" s="689">
        <f t="shared" si="502"/>
        <v>0</v>
      </c>
      <c r="AF314" s="689">
        <f t="shared" si="502"/>
        <v>0</v>
      </c>
      <c r="AG314" s="689">
        <f t="shared" si="502"/>
        <v>0</v>
      </c>
      <c r="AH314" s="689">
        <f t="shared" si="502"/>
        <v>0</v>
      </c>
      <c r="AI314" s="689">
        <f t="shared" si="502"/>
        <v>0</v>
      </c>
      <c r="AJ314" s="689">
        <f t="shared" si="502"/>
        <v>0</v>
      </c>
    </row>
    <row r="315" spans="1:36" s="674" customFormat="1" ht="13.15" customHeight="1" x14ac:dyDescent="0.2">
      <c r="A315" s="680" t="s">
        <v>252</v>
      </c>
      <c r="B315" s="681"/>
      <c r="C315" s="689">
        <f>300/12</f>
        <v>25</v>
      </c>
      <c r="D315" s="689">
        <f t="shared" ref="D315:N315" si="503">300/12</f>
        <v>25</v>
      </c>
      <c r="E315" s="689">
        <f t="shared" si="503"/>
        <v>25</v>
      </c>
      <c r="F315" s="689">
        <f t="shared" si="503"/>
        <v>25</v>
      </c>
      <c r="G315" s="689">
        <f t="shared" si="503"/>
        <v>25</v>
      </c>
      <c r="H315" s="689">
        <f t="shared" si="503"/>
        <v>25</v>
      </c>
      <c r="I315" s="689">
        <f t="shared" si="503"/>
        <v>25</v>
      </c>
      <c r="J315" s="689">
        <f t="shared" si="503"/>
        <v>25</v>
      </c>
      <c r="K315" s="689">
        <f t="shared" si="503"/>
        <v>25</v>
      </c>
      <c r="L315" s="689">
        <f t="shared" si="503"/>
        <v>25</v>
      </c>
      <c r="M315" s="689">
        <f t="shared" si="503"/>
        <v>25</v>
      </c>
      <c r="N315" s="689">
        <f t="shared" si="503"/>
        <v>25</v>
      </c>
      <c r="O315" s="683">
        <f>SUM(C315:N315)</f>
        <v>300</v>
      </c>
      <c r="P315" s="689">
        <f>300/12</f>
        <v>25</v>
      </c>
      <c r="Q315" s="689">
        <f t="shared" ref="Q315:AA315" si="504">300/12</f>
        <v>25</v>
      </c>
      <c r="R315" s="689">
        <f t="shared" si="504"/>
        <v>25</v>
      </c>
      <c r="S315" s="689">
        <f t="shared" si="504"/>
        <v>25</v>
      </c>
      <c r="T315" s="689">
        <f t="shared" si="504"/>
        <v>25</v>
      </c>
      <c r="U315" s="689">
        <f t="shared" si="504"/>
        <v>25</v>
      </c>
      <c r="V315" s="689">
        <f t="shared" si="504"/>
        <v>25</v>
      </c>
      <c r="W315" s="689">
        <f t="shared" si="504"/>
        <v>25</v>
      </c>
      <c r="X315" s="689">
        <f t="shared" si="504"/>
        <v>25</v>
      </c>
      <c r="Y315" s="689">
        <f t="shared" si="504"/>
        <v>25</v>
      </c>
      <c r="Z315" s="689">
        <f t="shared" si="504"/>
        <v>25</v>
      </c>
      <c r="AA315" s="689">
        <f t="shared" si="504"/>
        <v>25</v>
      </c>
      <c r="AB315" s="683">
        <f>SUM(P315:AA315)</f>
        <v>300</v>
      </c>
      <c r="AC315" s="689">
        <v>300</v>
      </c>
      <c r="AD315" s="689">
        <v>300</v>
      </c>
      <c r="AE315" s="689">
        <v>300</v>
      </c>
      <c r="AF315" s="689">
        <v>300</v>
      </c>
      <c r="AG315" s="689">
        <v>300</v>
      </c>
      <c r="AH315" s="689">
        <v>300</v>
      </c>
      <c r="AI315" s="689">
        <v>300</v>
      </c>
      <c r="AJ315" s="689">
        <v>300</v>
      </c>
    </row>
    <row r="316" spans="1:36" s="674" customFormat="1" ht="13.15" customHeight="1" x14ac:dyDescent="0.2">
      <c r="A316" s="680" t="s">
        <v>254</v>
      </c>
      <c r="B316" s="681"/>
      <c r="C316" s="690">
        <f t="shared" ref="C316:N316" si="505">C314*C315</f>
        <v>0</v>
      </c>
      <c r="D316" s="690">
        <f t="shared" si="505"/>
        <v>0</v>
      </c>
      <c r="E316" s="690">
        <f t="shared" si="505"/>
        <v>0</v>
      </c>
      <c r="F316" s="690">
        <f t="shared" si="505"/>
        <v>0</v>
      </c>
      <c r="G316" s="690">
        <f t="shared" si="505"/>
        <v>0</v>
      </c>
      <c r="H316" s="690">
        <f t="shared" si="505"/>
        <v>0</v>
      </c>
      <c r="I316" s="690">
        <f t="shared" si="505"/>
        <v>0</v>
      </c>
      <c r="J316" s="690">
        <f t="shared" si="505"/>
        <v>0</v>
      </c>
      <c r="K316" s="690">
        <f t="shared" si="505"/>
        <v>0</v>
      </c>
      <c r="L316" s="690">
        <f t="shared" si="505"/>
        <v>0</v>
      </c>
      <c r="M316" s="690">
        <f t="shared" si="505"/>
        <v>0</v>
      </c>
      <c r="N316" s="690">
        <f t="shared" si="505"/>
        <v>0</v>
      </c>
      <c r="O316" s="683">
        <f>SUM(C316:N316)</f>
        <v>0</v>
      </c>
      <c r="P316" s="690">
        <f t="shared" ref="P316:AA316" si="506">P314*P315</f>
        <v>0</v>
      </c>
      <c r="Q316" s="690">
        <f t="shared" si="506"/>
        <v>0</v>
      </c>
      <c r="R316" s="690">
        <f t="shared" si="506"/>
        <v>0</v>
      </c>
      <c r="S316" s="690">
        <f t="shared" si="506"/>
        <v>0</v>
      </c>
      <c r="T316" s="690">
        <f t="shared" si="506"/>
        <v>0</v>
      </c>
      <c r="U316" s="690">
        <f t="shared" si="506"/>
        <v>0</v>
      </c>
      <c r="V316" s="690">
        <f t="shared" si="506"/>
        <v>0</v>
      </c>
      <c r="W316" s="690">
        <f t="shared" si="506"/>
        <v>0</v>
      </c>
      <c r="X316" s="690">
        <f t="shared" si="506"/>
        <v>0</v>
      </c>
      <c r="Y316" s="690">
        <f t="shared" si="506"/>
        <v>0</v>
      </c>
      <c r="Z316" s="690">
        <f t="shared" si="506"/>
        <v>0</v>
      </c>
      <c r="AA316" s="690">
        <f t="shared" si="506"/>
        <v>0</v>
      </c>
      <c r="AB316" s="683">
        <f>SUM(P316:AA316)</f>
        <v>0</v>
      </c>
      <c r="AC316" s="690">
        <f t="shared" ref="AC316:AJ316" si="507">AC314*AC315</f>
        <v>0</v>
      </c>
      <c r="AD316" s="690">
        <f t="shared" si="507"/>
        <v>0</v>
      </c>
      <c r="AE316" s="690">
        <f t="shared" si="507"/>
        <v>0</v>
      </c>
      <c r="AF316" s="690">
        <f t="shared" si="507"/>
        <v>0</v>
      </c>
      <c r="AG316" s="690">
        <f t="shared" si="507"/>
        <v>0</v>
      </c>
      <c r="AH316" s="690">
        <f t="shared" si="507"/>
        <v>0</v>
      </c>
      <c r="AI316" s="690">
        <f t="shared" si="507"/>
        <v>0</v>
      </c>
      <c r="AJ316" s="690">
        <f t="shared" si="507"/>
        <v>0</v>
      </c>
    </row>
    <row r="317" spans="1:36" s="674" customFormat="1" ht="13.15" customHeight="1" x14ac:dyDescent="0.2">
      <c r="A317" s="680" t="s">
        <v>249</v>
      </c>
      <c r="B317" s="681"/>
      <c r="C317" s="686">
        <v>3</v>
      </c>
      <c r="D317" s="686">
        <f t="shared" ref="D317:O317" si="508">C317</f>
        <v>3</v>
      </c>
      <c r="E317" s="686">
        <f t="shared" si="508"/>
        <v>3</v>
      </c>
      <c r="F317" s="686">
        <f t="shared" si="508"/>
        <v>3</v>
      </c>
      <c r="G317" s="686">
        <f t="shared" si="508"/>
        <v>3</v>
      </c>
      <c r="H317" s="686">
        <f t="shared" si="508"/>
        <v>3</v>
      </c>
      <c r="I317" s="686">
        <f t="shared" si="508"/>
        <v>3</v>
      </c>
      <c r="J317" s="686">
        <f t="shared" si="508"/>
        <v>3</v>
      </c>
      <c r="K317" s="686">
        <f t="shared" si="508"/>
        <v>3</v>
      </c>
      <c r="L317" s="686">
        <f t="shared" si="508"/>
        <v>3</v>
      </c>
      <c r="M317" s="686">
        <f t="shared" si="508"/>
        <v>3</v>
      </c>
      <c r="N317" s="686">
        <f t="shared" si="508"/>
        <v>3</v>
      </c>
      <c r="O317" s="686">
        <f t="shared" si="508"/>
        <v>3</v>
      </c>
      <c r="P317" s="686">
        <f>N317</f>
        <v>3</v>
      </c>
      <c r="Q317" s="686">
        <f t="shared" ref="Q317:AB317" si="509">P317</f>
        <v>3</v>
      </c>
      <c r="R317" s="686">
        <f t="shared" si="509"/>
        <v>3</v>
      </c>
      <c r="S317" s="686">
        <f t="shared" si="509"/>
        <v>3</v>
      </c>
      <c r="T317" s="686">
        <f t="shared" si="509"/>
        <v>3</v>
      </c>
      <c r="U317" s="686">
        <f t="shared" si="509"/>
        <v>3</v>
      </c>
      <c r="V317" s="686">
        <f t="shared" si="509"/>
        <v>3</v>
      </c>
      <c r="W317" s="686">
        <f t="shared" si="509"/>
        <v>3</v>
      </c>
      <c r="X317" s="686">
        <f t="shared" si="509"/>
        <v>3</v>
      </c>
      <c r="Y317" s="686">
        <f t="shared" si="509"/>
        <v>3</v>
      </c>
      <c r="Z317" s="686">
        <f t="shared" si="509"/>
        <v>3</v>
      </c>
      <c r="AA317" s="686">
        <f t="shared" si="509"/>
        <v>3</v>
      </c>
      <c r="AB317" s="686">
        <f t="shared" si="509"/>
        <v>3</v>
      </c>
      <c r="AC317" s="686">
        <f>AA317</f>
        <v>3</v>
      </c>
      <c r="AD317" s="686">
        <f t="shared" ref="AD317:AJ317" si="510">AC317</f>
        <v>3</v>
      </c>
      <c r="AE317" s="686">
        <f t="shared" si="510"/>
        <v>3</v>
      </c>
      <c r="AF317" s="686">
        <f t="shared" si="510"/>
        <v>3</v>
      </c>
      <c r="AG317" s="686">
        <f t="shared" si="510"/>
        <v>3</v>
      </c>
      <c r="AH317" s="686">
        <f t="shared" si="510"/>
        <v>3</v>
      </c>
      <c r="AI317" s="686">
        <f t="shared" si="510"/>
        <v>3</v>
      </c>
      <c r="AJ317" s="686">
        <f t="shared" si="510"/>
        <v>3</v>
      </c>
    </row>
    <row r="318" spans="1:36" s="674" customFormat="1" ht="13.15" customHeight="1" x14ac:dyDescent="0.2">
      <c r="A318" s="680" t="s">
        <v>255</v>
      </c>
      <c r="B318" s="681"/>
      <c r="C318" s="690">
        <f t="shared" ref="C318:N318" si="511">C316*C317</f>
        <v>0</v>
      </c>
      <c r="D318" s="690">
        <f t="shared" si="511"/>
        <v>0</v>
      </c>
      <c r="E318" s="690">
        <f t="shared" si="511"/>
        <v>0</v>
      </c>
      <c r="F318" s="690">
        <f t="shared" si="511"/>
        <v>0</v>
      </c>
      <c r="G318" s="690">
        <f t="shared" si="511"/>
        <v>0</v>
      </c>
      <c r="H318" s="690">
        <f t="shared" si="511"/>
        <v>0</v>
      </c>
      <c r="I318" s="690">
        <f t="shared" si="511"/>
        <v>0</v>
      </c>
      <c r="J318" s="690">
        <f t="shared" si="511"/>
        <v>0</v>
      </c>
      <c r="K318" s="690">
        <f t="shared" si="511"/>
        <v>0</v>
      </c>
      <c r="L318" s="690">
        <f t="shared" si="511"/>
        <v>0</v>
      </c>
      <c r="M318" s="690">
        <f t="shared" si="511"/>
        <v>0</v>
      </c>
      <c r="N318" s="690">
        <f t="shared" si="511"/>
        <v>0</v>
      </c>
      <c r="O318" s="691">
        <f>SUM(C318:N318)</f>
        <v>0</v>
      </c>
      <c r="P318" s="690">
        <f t="shared" ref="P318:AA318" si="512">P316*P317</f>
        <v>0</v>
      </c>
      <c r="Q318" s="690">
        <f t="shared" si="512"/>
        <v>0</v>
      </c>
      <c r="R318" s="690">
        <f t="shared" si="512"/>
        <v>0</v>
      </c>
      <c r="S318" s="690">
        <f t="shared" si="512"/>
        <v>0</v>
      </c>
      <c r="T318" s="690">
        <f t="shared" si="512"/>
        <v>0</v>
      </c>
      <c r="U318" s="690">
        <f t="shared" si="512"/>
        <v>0</v>
      </c>
      <c r="V318" s="690">
        <f t="shared" si="512"/>
        <v>0</v>
      </c>
      <c r="W318" s="690">
        <f t="shared" si="512"/>
        <v>0</v>
      </c>
      <c r="X318" s="690">
        <f t="shared" si="512"/>
        <v>0</v>
      </c>
      <c r="Y318" s="690">
        <f t="shared" si="512"/>
        <v>0</v>
      </c>
      <c r="Z318" s="690">
        <f t="shared" si="512"/>
        <v>0</v>
      </c>
      <c r="AA318" s="690">
        <f t="shared" si="512"/>
        <v>0</v>
      </c>
      <c r="AB318" s="691">
        <f>SUM(P318:AA318)</f>
        <v>0</v>
      </c>
      <c r="AC318" s="690">
        <f t="shared" ref="AC318:AJ318" si="513">AC316*AC317</f>
        <v>0</v>
      </c>
      <c r="AD318" s="690">
        <f t="shared" si="513"/>
        <v>0</v>
      </c>
      <c r="AE318" s="690">
        <f t="shared" si="513"/>
        <v>0</v>
      </c>
      <c r="AF318" s="690">
        <f t="shared" si="513"/>
        <v>0</v>
      </c>
      <c r="AG318" s="690">
        <f t="shared" si="513"/>
        <v>0</v>
      </c>
      <c r="AH318" s="690">
        <f t="shared" si="513"/>
        <v>0</v>
      </c>
      <c r="AI318" s="690">
        <f t="shared" si="513"/>
        <v>0</v>
      </c>
      <c r="AJ318" s="690">
        <f t="shared" si="513"/>
        <v>0</v>
      </c>
    </row>
    <row r="319" spans="1:36" s="674" customFormat="1" ht="13.15" customHeight="1" x14ac:dyDescent="0.2">
      <c r="A319" s="680"/>
      <c r="B319" s="681"/>
      <c r="C319" s="682"/>
      <c r="D319" s="682"/>
      <c r="E319" s="682"/>
      <c r="F319" s="682"/>
      <c r="G319" s="682"/>
      <c r="H319" s="682"/>
      <c r="I319" s="682"/>
      <c r="J319" s="682"/>
      <c r="K319" s="682"/>
      <c r="L319" s="682"/>
      <c r="M319" s="682"/>
      <c r="N319" s="682"/>
      <c r="O319" s="683"/>
      <c r="P319" s="682"/>
      <c r="Q319" s="682"/>
      <c r="R319" s="682"/>
      <c r="S319" s="682"/>
      <c r="T319" s="682"/>
      <c r="U319" s="682"/>
      <c r="V319" s="682"/>
      <c r="W319" s="682"/>
      <c r="X319" s="682"/>
      <c r="Y319" s="682"/>
      <c r="Z319" s="682"/>
      <c r="AA319" s="682"/>
      <c r="AB319" s="683"/>
      <c r="AC319" s="683"/>
      <c r="AD319" s="683"/>
      <c r="AE319" s="683"/>
    </row>
    <row r="320" spans="1:36" s="684" customFormat="1" ht="13.15" customHeight="1" x14ac:dyDescent="0.2">
      <c r="A320" s="676" t="s">
        <v>257</v>
      </c>
      <c r="B320" s="677"/>
      <c r="C320" s="694">
        <f>C306+C312+C318</f>
        <v>0</v>
      </c>
      <c r="D320" s="694">
        <f t="shared" ref="D320:N320" si="514">D306+D312+D318</f>
        <v>0</v>
      </c>
      <c r="E320" s="694">
        <f t="shared" si="514"/>
        <v>0</v>
      </c>
      <c r="F320" s="694">
        <f t="shared" si="514"/>
        <v>0</v>
      </c>
      <c r="G320" s="694">
        <f t="shared" si="514"/>
        <v>0</v>
      </c>
      <c r="H320" s="694">
        <f t="shared" si="514"/>
        <v>0</v>
      </c>
      <c r="I320" s="694">
        <f t="shared" si="514"/>
        <v>0</v>
      </c>
      <c r="J320" s="694">
        <f t="shared" si="514"/>
        <v>0</v>
      </c>
      <c r="K320" s="694">
        <f t="shared" si="514"/>
        <v>0</v>
      </c>
      <c r="L320" s="694">
        <f t="shared" si="514"/>
        <v>0</v>
      </c>
      <c r="M320" s="694">
        <f t="shared" si="514"/>
        <v>0</v>
      </c>
      <c r="N320" s="694">
        <f t="shared" si="514"/>
        <v>0</v>
      </c>
      <c r="O320" s="679">
        <f>SUM(C320:N320)</f>
        <v>0</v>
      </c>
      <c r="P320" s="694">
        <f t="shared" ref="P320:AA320" si="515">P306+P312+P318</f>
        <v>0</v>
      </c>
      <c r="Q320" s="694">
        <f t="shared" si="515"/>
        <v>0</v>
      </c>
      <c r="R320" s="694">
        <f t="shared" si="515"/>
        <v>0</v>
      </c>
      <c r="S320" s="694">
        <f t="shared" si="515"/>
        <v>0</v>
      </c>
      <c r="T320" s="694">
        <f t="shared" si="515"/>
        <v>0</v>
      </c>
      <c r="U320" s="694">
        <f t="shared" si="515"/>
        <v>0</v>
      </c>
      <c r="V320" s="694">
        <f t="shared" si="515"/>
        <v>0</v>
      </c>
      <c r="W320" s="694">
        <f t="shared" si="515"/>
        <v>0</v>
      </c>
      <c r="X320" s="694">
        <f t="shared" si="515"/>
        <v>0</v>
      </c>
      <c r="Y320" s="694">
        <f t="shared" si="515"/>
        <v>0</v>
      </c>
      <c r="Z320" s="694">
        <f t="shared" si="515"/>
        <v>0</v>
      </c>
      <c r="AA320" s="694">
        <f t="shared" si="515"/>
        <v>0</v>
      </c>
      <c r="AB320" s="694">
        <f>SUM(P320:AA320)</f>
        <v>0</v>
      </c>
      <c r="AC320" s="694">
        <f t="shared" ref="AC320:AJ320" si="516">AC306+AC312+AC318</f>
        <v>114.10875000000001</v>
      </c>
      <c r="AD320" s="694">
        <f t="shared" si="516"/>
        <v>474.69239999999996</v>
      </c>
      <c r="AE320" s="694">
        <f t="shared" si="516"/>
        <v>1100.0996369999998</v>
      </c>
      <c r="AF320" s="694">
        <f t="shared" si="516"/>
        <v>2244.2032594799998</v>
      </c>
      <c r="AG320" s="694">
        <f t="shared" si="516"/>
        <v>3819.7170662742001</v>
      </c>
      <c r="AH320" s="694">
        <f t="shared" si="516"/>
        <v>5036.9895379440004</v>
      </c>
      <c r="AI320" s="694">
        <f t="shared" si="516"/>
        <v>5876.4877942680014</v>
      </c>
      <c r="AJ320" s="694">
        <f t="shared" si="516"/>
        <v>6715.9860505919987</v>
      </c>
    </row>
    <row r="321" spans="1:37" s="674" customFormat="1" ht="13.15" customHeight="1" x14ac:dyDescent="0.2">
      <c r="A321" s="680"/>
      <c r="B321" s="681"/>
      <c r="C321" s="682"/>
      <c r="D321" s="682"/>
      <c r="E321" s="682"/>
      <c r="F321" s="682"/>
      <c r="G321" s="682"/>
      <c r="H321" s="682"/>
      <c r="I321" s="682"/>
      <c r="J321" s="682"/>
      <c r="K321" s="682"/>
      <c r="L321" s="682"/>
      <c r="M321" s="682"/>
      <c r="N321" s="682"/>
      <c r="O321" s="683"/>
      <c r="P321" s="682"/>
      <c r="Q321" s="682"/>
      <c r="R321" s="682"/>
      <c r="S321" s="682"/>
      <c r="T321" s="682"/>
      <c r="U321" s="682"/>
      <c r="V321" s="682"/>
      <c r="W321" s="682"/>
      <c r="X321" s="682"/>
      <c r="Y321" s="682"/>
      <c r="Z321" s="682"/>
      <c r="AA321" s="682"/>
      <c r="AB321" s="683"/>
      <c r="AC321" s="683"/>
      <c r="AD321" s="683"/>
      <c r="AE321" s="683"/>
    </row>
    <row r="322" spans="1:37" s="674" customFormat="1" ht="13.15" customHeight="1" x14ac:dyDescent="0.2">
      <c r="A322" s="680" t="s">
        <v>258</v>
      </c>
      <c r="B322" s="681"/>
      <c r="C322" s="767">
        <f>C$25</f>
        <v>300</v>
      </c>
      <c r="D322" s="767">
        <f t="shared" ref="D322:AJ322" si="517">D$25</f>
        <v>300</v>
      </c>
      <c r="E322" s="767">
        <f t="shared" si="517"/>
        <v>300</v>
      </c>
      <c r="F322" s="767">
        <f t="shared" si="517"/>
        <v>300</v>
      </c>
      <c r="G322" s="767">
        <f t="shared" si="517"/>
        <v>300</v>
      </c>
      <c r="H322" s="767">
        <f t="shared" si="517"/>
        <v>300</v>
      </c>
      <c r="I322" s="767">
        <f t="shared" si="517"/>
        <v>300</v>
      </c>
      <c r="J322" s="767">
        <f t="shared" si="517"/>
        <v>300</v>
      </c>
      <c r="K322" s="767">
        <f t="shared" si="517"/>
        <v>300</v>
      </c>
      <c r="L322" s="767">
        <f t="shared" si="517"/>
        <v>300</v>
      </c>
      <c r="M322" s="767">
        <f t="shared" si="517"/>
        <v>300</v>
      </c>
      <c r="N322" s="767">
        <f t="shared" si="517"/>
        <v>300</v>
      </c>
      <c r="O322" s="767">
        <f t="shared" si="517"/>
        <v>300</v>
      </c>
      <c r="P322" s="767">
        <f t="shared" si="517"/>
        <v>300</v>
      </c>
      <c r="Q322" s="767">
        <f t="shared" si="517"/>
        <v>300</v>
      </c>
      <c r="R322" s="767">
        <f t="shared" si="517"/>
        <v>300</v>
      </c>
      <c r="S322" s="767">
        <f t="shared" si="517"/>
        <v>300</v>
      </c>
      <c r="T322" s="767">
        <f t="shared" si="517"/>
        <v>300</v>
      </c>
      <c r="U322" s="767">
        <f t="shared" si="517"/>
        <v>300</v>
      </c>
      <c r="V322" s="767">
        <f t="shared" si="517"/>
        <v>300</v>
      </c>
      <c r="W322" s="767">
        <f t="shared" si="517"/>
        <v>300</v>
      </c>
      <c r="X322" s="767">
        <f t="shared" si="517"/>
        <v>300</v>
      </c>
      <c r="Y322" s="767">
        <f t="shared" si="517"/>
        <v>300</v>
      </c>
      <c r="Z322" s="767">
        <f t="shared" si="517"/>
        <v>300</v>
      </c>
      <c r="AA322" s="767">
        <f t="shared" si="517"/>
        <v>300</v>
      </c>
      <c r="AB322" s="767">
        <f t="shared" si="517"/>
        <v>300</v>
      </c>
      <c r="AC322" s="767">
        <f t="shared" si="517"/>
        <v>300</v>
      </c>
      <c r="AD322" s="767">
        <f t="shared" si="517"/>
        <v>300</v>
      </c>
      <c r="AE322" s="767">
        <f t="shared" si="517"/>
        <v>300</v>
      </c>
      <c r="AF322" s="767">
        <f t="shared" si="517"/>
        <v>300</v>
      </c>
      <c r="AG322" s="767">
        <f t="shared" si="517"/>
        <v>300</v>
      </c>
      <c r="AH322" s="767">
        <f t="shared" si="517"/>
        <v>300</v>
      </c>
      <c r="AI322" s="767">
        <f t="shared" si="517"/>
        <v>300</v>
      </c>
      <c r="AJ322" s="767">
        <f t="shared" si="517"/>
        <v>300</v>
      </c>
      <c r="AK322" s="693"/>
    </row>
    <row r="323" spans="1:37" s="674" customFormat="1" ht="13.15" customHeight="1" x14ac:dyDescent="0.2">
      <c r="A323" s="680"/>
      <c r="B323" s="681"/>
      <c r="C323" s="682"/>
      <c r="D323" s="682"/>
      <c r="E323" s="682"/>
      <c r="F323" s="682"/>
      <c r="G323" s="682"/>
      <c r="H323" s="682"/>
      <c r="I323" s="682"/>
      <c r="J323" s="682"/>
      <c r="K323" s="682"/>
      <c r="L323" s="682"/>
      <c r="M323" s="682"/>
      <c r="N323" s="682"/>
      <c r="O323" s="683"/>
      <c r="P323" s="682"/>
      <c r="Q323" s="682"/>
      <c r="R323" s="682"/>
      <c r="S323" s="682"/>
      <c r="T323" s="682"/>
      <c r="U323" s="682"/>
      <c r="V323" s="682"/>
      <c r="W323" s="682"/>
      <c r="X323" s="682"/>
      <c r="Y323" s="682"/>
      <c r="Z323" s="682"/>
      <c r="AA323" s="682"/>
      <c r="AB323" s="683"/>
      <c r="AC323" s="683"/>
      <c r="AD323" s="683"/>
      <c r="AE323" s="683"/>
    </row>
    <row r="324" spans="1:37" s="766" customFormat="1" ht="13.15" customHeight="1" x14ac:dyDescent="0.2">
      <c r="A324" s="763" t="s">
        <v>424</v>
      </c>
      <c r="B324" s="764"/>
      <c r="C324" s="765">
        <f>C320*C322</f>
        <v>0</v>
      </c>
      <c r="D324" s="765">
        <f t="shared" ref="D324:N324" si="518">D320*D322</f>
        <v>0</v>
      </c>
      <c r="E324" s="765">
        <f t="shared" si="518"/>
        <v>0</v>
      </c>
      <c r="F324" s="765">
        <f t="shared" si="518"/>
        <v>0</v>
      </c>
      <c r="G324" s="765">
        <f t="shared" si="518"/>
        <v>0</v>
      </c>
      <c r="H324" s="765">
        <f t="shared" si="518"/>
        <v>0</v>
      </c>
      <c r="I324" s="765">
        <f t="shared" si="518"/>
        <v>0</v>
      </c>
      <c r="J324" s="765">
        <f t="shared" si="518"/>
        <v>0</v>
      </c>
      <c r="K324" s="765">
        <f t="shared" si="518"/>
        <v>0</v>
      </c>
      <c r="L324" s="765">
        <f t="shared" si="518"/>
        <v>0</v>
      </c>
      <c r="M324" s="765">
        <f t="shared" si="518"/>
        <v>0</v>
      </c>
      <c r="N324" s="765">
        <f t="shared" si="518"/>
        <v>0</v>
      </c>
      <c r="O324" s="765">
        <f>SUM(C324:N324)</f>
        <v>0</v>
      </c>
      <c r="P324" s="765">
        <f>P320*P322</f>
        <v>0</v>
      </c>
      <c r="Q324" s="765">
        <f t="shared" ref="Q324:AA324" si="519">Q320*Q322</f>
        <v>0</v>
      </c>
      <c r="R324" s="765">
        <f t="shared" si="519"/>
        <v>0</v>
      </c>
      <c r="S324" s="765">
        <f t="shared" si="519"/>
        <v>0</v>
      </c>
      <c r="T324" s="765">
        <f t="shared" si="519"/>
        <v>0</v>
      </c>
      <c r="U324" s="765">
        <f t="shared" si="519"/>
        <v>0</v>
      </c>
      <c r="V324" s="765">
        <f t="shared" si="519"/>
        <v>0</v>
      </c>
      <c r="W324" s="765">
        <f t="shared" si="519"/>
        <v>0</v>
      </c>
      <c r="X324" s="765">
        <f t="shared" si="519"/>
        <v>0</v>
      </c>
      <c r="Y324" s="765">
        <f t="shared" si="519"/>
        <v>0</v>
      </c>
      <c r="Z324" s="765">
        <f t="shared" si="519"/>
        <v>0</v>
      </c>
      <c r="AA324" s="765">
        <f t="shared" si="519"/>
        <v>0</v>
      </c>
      <c r="AB324" s="765">
        <f>SUM(P324:AA324)</f>
        <v>0</v>
      </c>
      <c r="AC324" s="765">
        <f t="shared" ref="AC324:AJ324" si="520">AC320*AC322</f>
        <v>34232.625000000007</v>
      </c>
      <c r="AD324" s="765">
        <f t="shared" si="520"/>
        <v>142407.72</v>
      </c>
      <c r="AE324" s="765">
        <f t="shared" si="520"/>
        <v>330029.89109999995</v>
      </c>
      <c r="AF324" s="765">
        <f t="shared" si="520"/>
        <v>673260.97784399998</v>
      </c>
      <c r="AG324" s="765">
        <f t="shared" si="520"/>
        <v>1145915.11988226</v>
      </c>
      <c r="AH324" s="765">
        <f t="shared" si="520"/>
        <v>1511096.8613832002</v>
      </c>
      <c r="AI324" s="765">
        <f t="shared" si="520"/>
        <v>1762946.3382804005</v>
      </c>
      <c r="AJ324" s="765">
        <f t="shared" si="520"/>
        <v>2014795.8151775997</v>
      </c>
    </row>
    <row r="325" spans="1:37" s="674" customFormat="1" ht="13.15" customHeight="1" x14ac:dyDescent="0.2">
      <c r="A325" s="680"/>
      <c r="B325" s="681"/>
      <c r="C325" s="682"/>
      <c r="D325" s="682"/>
      <c r="E325" s="682"/>
      <c r="F325" s="682"/>
      <c r="G325" s="682"/>
      <c r="H325" s="682"/>
      <c r="I325" s="682"/>
      <c r="J325" s="682"/>
      <c r="K325" s="682"/>
      <c r="L325" s="682"/>
      <c r="M325" s="682"/>
      <c r="N325" s="682"/>
      <c r="O325" s="683"/>
      <c r="P325" s="682"/>
      <c r="Q325" s="682"/>
      <c r="R325" s="682"/>
      <c r="S325" s="682"/>
      <c r="T325" s="682"/>
      <c r="U325" s="682"/>
      <c r="V325" s="682"/>
      <c r="W325" s="682"/>
      <c r="X325" s="682"/>
      <c r="Y325" s="682"/>
      <c r="Z325" s="682"/>
      <c r="AA325" s="682"/>
      <c r="AB325" s="683"/>
      <c r="AC325" s="683"/>
      <c r="AD325" s="683"/>
      <c r="AE325" s="683"/>
    </row>
    <row r="326" spans="1:37" s="674" customFormat="1" ht="13.15" customHeight="1" x14ac:dyDescent="0.2">
      <c r="A326" s="680"/>
      <c r="B326" s="681"/>
      <c r="C326" s="682"/>
      <c r="D326" s="682"/>
      <c r="E326" s="682"/>
      <c r="F326" s="682"/>
      <c r="G326" s="682"/>
      <c r="H326" s="682"/>
      <c r="I326" s="682"/>
      <c r="J326" s="682"/>
      <c r="K326" s="682"/>
      <c r="L326" s="682"/>
      <c r="M326" s="682"/>
      <c r="N326" s="682"/>
      <c r="O326" s="683"/>
      <c r="P326" s="682"/>
      <c r="Q326" s="682"/>
      <c r="R326" s="682"/>
      <c r="S326" s="682"/>
      <c r="T326" s="682"/>
      <c r="U326" s="682"/>
      <c r="V326" s="682"/>
      <c r="W326" s="682"/>
      <c r="X326" s="682"/>
      <c r="Y326" s="682"/>
      <c r="Z326" s="682"/>
      <c r="AA326" s="682"/>
      <c r="AB326" s="683"/>
      <c r="AC326" s="683"/>
      <c r="AD326" s="683"/>
      <c r="AE326" s="683"/>
    </row>
    <row r="327" spans="1:37" s="674" customFormat="1" ht="13.15" customHeight="1" x14ac:dyDescent="0.2">
      <c r="A327" s="676" t="s">
        <v>452</v>
      </c>
      <c r="B327" s="677"/>
      <c r="C327" s="678"/>
      <c r="D327" s="678"/>
      <c r="E327" s="678"/>
      <c r="F327" s="678"/>
      <c r="G327" s="678"/>
      <c r="H327" s="678"/>
      <c r="I327" s="678"/>
      <c r="J327" s="678"/>
      <c r="K327" s="678"/>
      <c r="L327" s="678"/>
      <c r="M327" s="678"/>
      <c r="N327" s="678"/>
      <c r="O327" s="679"/>
      <c r="P327" s="678"/>
      <c r="Q327" s="678"/>
      <c r="R327" s="678"/>
      <c r="S327" s="678"/>
      <c r="T327" s="678"/>
      <c r="U327" s="678"/>
      <c r="V327" s="678"/>
      <c r="W327" s="678"/>
      <c r="X327" s="678"/>
      <c r="Y327" s="678"/>
      <c r="Z327" s="678"/>
      <c r="AA327" s="678"/>
      <c r="AB327" s="679"/>
      <c r="AC327" s="679"/>
      <c r="AD327" s="679"/>
      <c r="AE327" s="679"/>
    </row>
    <row r="328" spans="1:37" s="674" customFormat="1" ht="13.15" customHeight="1" x14ac:dyDescent="0.2">
      <c r="A328" s="674" t="s">
        <v>250</v>
      </c>
      <c r="B328" s="681"/>
      <c r="C328" s="690">
        <f>$O328/12</f>
        <v>1458.3333333333333</v>
      </c>
      <c r="D328" s="690">
        <f t="shared" ref="D328:N328" si="521">$O328/12</f>
        <v>1458.3333333333333</v>
      </c>
      <c r="E328" s="690">
        <f t="shared" si="521"/>
        <v>1458.3333333333333</v>
      </c>
      <c r="F328" s="690">
        <f t="shared" si="521"/>
        <v>1458.3333333333333</v>
      </c>
      <c r="G328" s="690">
        <f t="shared" si="521"/>
        <v>1458.3333333333333</v>
      </c>
      <c r="H328" s="690">
        <f t="shared" si="521"/>
        <v>1458.3333333333333</v>
      </c>
      <c r="I328" s="690">
        <f t="shared" si="521"/>
        <v>1458.3333333333333</v>
      </c>
      <c r="J328" s="690">
        <f t="shared" si="521"/>
        <v>1458.3333333333333</v>
      </c>
      <c r="K328" s="690">
        <f t="shared" si="521"/>
        <v>1458.3333333333333</v>
      </c>
      <c r="L328" s="690">
        <f t="shared" si="521"/>
        <v>1458.3333333333333</v>
      </c>
      <c r="M328" s="690">
        <f t="shared" si="521"/>
        <v>1458.3333333333333</v>
      </c>
      <c r="N328" s="690">
        <f t="shared" si="521"/>
        <v>1458.3333333333333</v>
      </c>
      <c r="O328" s="689">
        <v>17500</v>
      </c>
      <c r="P328" s="690">
        <f>$AB328/12</f>
        <v>1531.25</v>
      </c>
      <c r="Q328" s="690">
        <f t="shared" ref="Q328:AA328" si="522">$AB328/12</f>
        <v>1531.25</v>
      </c>
      <c r="R328" s="690">
        <f t="shared" si="522"/>
        <v>1531.25</v>
      </c>
      <c r="S328" s="690">
        <f t="shared" si="522"/>
        <v>1531.25</v>
      </c>
      <c r="T328" s="690">
        <f t="shared" si="522"/>
        <v>1531.25</v>
      </c>
      <c r="U328" s="690">
        <f t="shared" si="522"/>
        <v>1531.25</v>
      </c>
      <c r="V328" s="690">
        <f t="shared" si="522"/>
        <v>1531.25</v>
      </c>
      <c r="W328" s="690">
        <f t="shared" si="522"/>
        <v>1531.25</v>
      </c>
      <c r="X328" s="690">
        <f t="shared" si="522"/>
        <v>1531.25</v>
      </c>
      <c r="Y328" s="690">
        <f t="shared" si="522"/>
        <v>1531.25</v>
      </c>
      <c r="Z328" s="690">
        <f t="shared" si="522"/>
        <v>1531.25</v>
      </c>
      <c r="AA328" s="690">
        <f t="shared" si="522"/>
        <v>1531.25</v>
      </c>
      <c r="AB328" s="690">
        <f>O328*(1+AB329)</f>
        <v>18375</v>
      </c>
      <c r="AC328" s="690">
        <f t="shared" ref="AC328:AJ328" si="523">AB328*(1+AC329)</f>
        <v>19293.75</v>
      </c>
      <c r="AD328" s="690">
        <f t="shared" si="523"/>
        <v>20065.5</v>
      </c>
      <c r="AE328" s="690">
        <f t="shared" si="523"/>
        <v>20667.465</v>
      </c>
      <c r="AF328" s="690">
        <f t="shared" si="523"/>
        <v>21080.814300000002</v>
      </c>
      <c r="AG328" s="690">
        <f t="shared" si="523"/>
        <v>21291.622443000004</v>
      </c>
      <c r="AH328" s="690">
        <f t="shared" si="523"/>
        <v>21291.622443000004</v>
      </c>
      <c r="AI328" s="690">
        <f t="shared" si="523"/>
        <v>21291.622443000004</v>
      </c>
      <c r="AJ328" s="690">
        <f t="shared" si="523"/>
        <v>21291.622443000004</v>
      </c>
    </row>
    <row r="329" spans="1:37" s="688" customFormat="1" ht="13.15" customHeight="1" x14ac:dyDescent="0.2">
      <c r="A329" s="680" t="s">
        <v>324</v>
      </c>
      <c r="B329" s="681"/>
      <c r="C329" s="687"/>
      <c r="D329" s="687"/>
      <c r="E329" s="687"/>
      <c r="F329" s="687"/>
      <c r="G329" s="687"/>
      <c r="H329" s="687"/>
      <c r="I329" s="687"/>
      <c r="J329" s="687"/>
      <c r="K329" s="687"/>
      <c r="L329" s="687"/>
      <c r="M329" s="687"/>
      <c r="N329" s="687"/>
      <c r="O329" s="692"/>
      <c r="P329" s="687"/>
      <c r="Q329" s="687"/>
      <c r="R329" s="687"/>
      <c r="S329" s="687"/>
      <c r="T329" s="687"/>
      <c r="U329" s="687"/>
      <c r="V329" s="687"/>
      <c r="W329" s="687"/>
      <c r="X329" s="687"/>
      <c r="Y329" s="687"/>
      <c r="Z329" s="687"/>
      <c r="AA329" s="687"/>
      <c r="AB329" s="687">
        <v>0.05</v>
      </c>
      <c r="AC329" s="687">
        <v>0.05</v>
      </c>
      <c r="AD329" s="687">
        <f>AC329-1%</f>
        <v>0.04</v>
      </c>
      <c r="AE329" s="687">
        <f>AD329-1%</f>
        <v>0.03</v>
      </c>
      <c r="AF329" s="687">
        <f>AE329-1%</f>
        <v>1.9999999999999997E-2</v>
      </c>
      <c r="AG329" s="687">
        <f>AF329-1%</f>
        <v>9.9999999999999967E-3</v>
      </c>
      <c r="AH329" s="687">
        <f>AG329-1%</f>
        <v>0</v>
      </c>
      <c r="AI329" s="688">
        <f>AH329</f>
        <v>0</v>
      </c>
      <c r="AJ329" s="688">
        <f>AI329</f>
        <v>0</v>
      </c>
    </row>
    <row r="330" spans="1:37" s="688" customFormat="1" ht="13.15" customHeight="1" x14ac:dyDescent="0.2">
      <c r="A330" s="680" t="s">
        <v>248</v>
      </c>
      <c r="B330" s="681"/>
      <c r="C330" s="687">
        <f t="shared" ref="C330:N330" si="524">C303</f>
        <v>0</v>
      </c>
      <c r="D330" s="687">
        <f t="shared" si="524"/>
        <v>0</v>
      </c>
      <c r="E330" s="687">
        <f t="shared" si="524"/>
        <v>0</v>
      </c>
      <c r="F330" s="687">
        <f t="shared" si="524"/>
        <v>0</v>
      </c>
      <c r="G330" s="687">
        <f t="shared" si="524"/>
        <v>0</v>
      </c>
      <c r="H330" s="687">
        <f t="shared" si="524"/>
        <v>0</v>
      </c>
      <c r="I330" s="687">
        <f t="shared" si="524"/>
        <v>0</v>
      </c>
      <c r="J330" s="687">
        <f t="shared" si="524"/>
        <v>0</v>
      </c>
      <c r="K330" s="687">
        <f t="shared" si="524"/>
        <v>0</v>
      </c>
      <c r="L330" s="687">
        <f t="shared" si="524"/>
        <v>0</v>
      </c>
      <c r="M330" s="687">
        <f t="shared" si="524"/>
        <v>0</v>
      </c>
      <c r="N330" s="687">
        <f t="shared" si="524"/>
        <v>0</v>
      </c>
      <c r="O330" s="692">
        <f>N330</f>
        <v>0</v>
      </c>
      <c r="P330" s="687">
        <v>0</v>
      </c>
      <c r="Q330" s="687">
        <f t="shared" ref="Q330:AB330" si="525">P330</f>
        <v>0</v>
      </c>
      <c r="R330" s="687">
        <f t="shared" si="525"/>
        <v>0</v>
      </c>
      <c r="S330" s="687">
        <f t="shared" si="525"/>
        <v>0</v>
      </c>
      <c r="T330" s="687">
        <f t="shared" si="525"/>
        <v>0</v>
      </c>
      <c r="U330" s="687">
        <f t="shared" si="525"/>
        <v>0</v>
      </c>
      <c r="V330" s="687">
        <f t="shared" si="525"/>
        <v>0</v>
      </c>
      <c r="W330" s="687">
        <f t="shared" si="525"/>
        <v>0</v>
      </c>
      <c r="X330" s="687">
        <f t="shared" si="525"/>
        <v>0</v>
      </c>
      <c r="Y330" s="687">
        <f t="shared" si="525"/>
        <v>0</v>
      </c>
      <c r="Z330" s="687">
        <f t="shared" si="525"/>
        <v>0</v>
      </c>
      <c r="AA330" s="687">
        <f t="shared" si="525"/>
        <v>0</v>
      </c>
      <c r="AB330" s="692">
        <f t="shared" si="525"/>
        <v>0</v>
      </c>
      <c r="AC330" s="687">
        <f>AB222</f>
        <v>0</v>
      </c>
      <c r="AD330" s="687">
        <f t="shared" ref="AD330:AJ330" si="526">AC222</f>
        <v>1.2000000000000004E-2</v>
      </c>
      <c r="AE330" s="687">
        <f t="shared" si="526"/>
        <v>2.4000000000000007E-2</v>
      </c>
      <c r="AF330" s="687">
        <f t="shared" si="526"/>
        <v>4.8000000000000015E-2</v>
      </c>
      <c r="AG330" s="687">
        <f t="shared" si="526"/>
        <v>9.600000000000003E-2</v>
      </c>
      <c r="AH330" s="687">
        <f t="shared" si="526"/>
        <v>0.12</v>
      </c>
      <c r="AI330" s="687">
        <f t="shared" si="526"/>
        <v>0.13999999999999999</v>
      </c>
      <c r="AJ330" s="687">
        <f t="shared" si="526"/>
        <v>0.15999999999999998</v>
      </c>
    </row>
    <row r="331" spans="1:37" s="674" customFormat="1" ht="13.15" customHeight="1" x14ac:dyDescent="0.2">
      <c r="A331" s="680" t="s">
        <v>251</v>
      </c>
      <c r="B331" s="681"/>
      <c r="C331" s="690">
        <f t="shared" ref="C331:N331" si="527">C328*C330</f>
        <v>0</v>
      </c>
      <c r="D331" s="690">
        <f t="shared" si="527"/>
        <v>0</v>
      </c>
      <c r="E331" s="690">
        <f t="shared" si="527"/>
        <v>0</v>
      </c>
      <c r="F331" s="690">
        <f t="shared" si="527"/>
        <v>0</v>
      </c>
      <c r="G331" s="690">
        <f t="shared" si="527"/>
        <v>0</v>
      </c>
      <c r="H331" s="690">
        <f t="shared" si="527"/>
        <v>0</v>
      </c>
      <c r="I331" s="690">
        <f t="shared" si="527"/>
        <v>0</v>
      </c>
      <c r="J331" s="690">
        <f t="shared" si="527"/>
        <v>0</v>
      </c>
      <c r="K331" s="690">
        <f t="shared" si="527"/>
        <v>0</v>
      </c>
      <c r="L331" s="690">
        <f t="shared" si="527"/>
        <v>0</v>
      </c>
      <c r="M331" s="690">
        <f t="shared" si="527"/>
        <v>0</v>
      </c>
      <c r="N331" s="690">
        <f t="shared" si="527"/>
        <v>0</v>
      </c>
      <c r="O331" s="683">
        <f>SUM(C331:N331)</f>
        <v>0</v>
      </c>
      <c r="P331" s="690">
        <f t="shared" ref="P331:AA331" si="528">P328*P330</f>
        <v>0</v>
      </c>
      <c r="Q331" s="690">
        <f t="shared" si="528"/>
        <v>0</v>
      </c>
      <c r="R331" s="690">
        <f t="shared" si="528"/>
        <v>0</v>
      </c>
      <c r="S331" s="690">
        <f t="shared" si="528"/>
        <v>0</v>
      </c>
      <c r="T331" s="690">
        <f t="shared" si="528"/>
        <v>0</v>
      </c>
      <c r="U331" s="690">
        <f t="shared" si="528"/>
        <v>0</v>
      </c>
      <c r="V331" s="690">
        <f t="shared" si="528"/>
        <v>0</v>
      </c>
      <c r="W331" s="690">
        <f t="shared" si="528"/>
        <v>0</v>
      </c>
      <c r="X331" s="690">
        <f t="shared" si="528"/>
        <v>0</v>
      </c>
      <c r="Y331" s="690">
        <f t="shared" si="528"/>
        <v>0</v>
      </c>
      <c r="Z331" s="690">
        <f t="shared" si="528"/>
        <v>0</v>
      </c>
      <c r="AA331" s="690">
        <f t="shared" si="528"/>
        <v>0</v>
      </c>
      <c r="AB331" s="690">
        <f>SUM(P331:AA331)</f>
        <v>0</v>
      </c>
      <c r="AC331" s="690">
        <f>AC328*AVERAGE(AA330,AC330)</f>
        <v>0</v>
      </c>
      <c r="AD331" s="690">
        <f t="shared" ref="AD331:AJ331" si="529">AD328*AVERAGE(AC330,AD330)</f>
        <v>120.39300000000004</v>
      </c>
      <c r="AE331" s="690">
        <f t="shared" si="529"/>
        <v>372.0143700000001</v>
      </c>
      <c r="AF331" s="690">
        <f t="shared" si="529"/>
        <v>758.90931480000029</v>
      </c>
      <c r="AG331" s="690">
        <f t="shared" si="529"/>
        <v>1532.9968158960007</v>
      </c>
      <c r="AH331" s="690">
        <f t="shared" si="529"/>
        <v>2299.4952238440005</v>
      </c>
      <c r="AI331" s="690">
        <f t="shared" si="529"/>
        <v>2767.9109175900007</v>
      </c>
      <c r="AJ331" s="690">
        <f t="shared" si="529"/>
        <v>3193.7433664499999</v>
      </c>
    </row>
    <row r="332" spans="1:37" s="674" customFormat="1" ht="13.15" customHeight="1" x14ac:dyDescent="0.2">
      <c r="A332" s="680" t="s">
        <v>249</v>
      </c>
      <c r="B332" s="681"/>
      <c r="C332" s="686">
        <v>2</v>
      </c>
      <c r="D332" s="686">
        <f t="shared" ref="D332:O332" si="530">C332</f>
        <v>2</v>
      </c>
      <c r="E332" s="686">
        <f t="shared" si="530"/>
        <v>2</v>
      </c>
      <c r="F332" s="686">
        <f t="shared" si="530"/>
        <v>2</v>
      </c>
      <c r="G332" s="686">
        <f t="shared" si="530"/>
        <v>2</v>
      </c>
      <c r="H332" s="686">
        <f t="shared" si="530"/>
        <v>2</v>
      </c>
      <c r="I332" s="686">
        <f t="shared" si="530"/>
        <v>2</v>
      </c>
      <c r="J332" s="686">
        <f t="shared" si="530"/>
        <v>2</v>
      </c>
      <c r="K332" s="686">
        <f t="shared" si="530"/>
        <v>2</v>
      </c>
      <c r="L332" s="686">
        <f t="shared" si="530"/>
        <v>2</v>
      </c>
      <c r="M332" s="686">
        <f t="shared" si="530"/>
        <v>2</v>
      </c>
      <c r="N332" s="686">
        <f t="shared" si="530"/>
        <v>2</v>
      </c>
      <c r="O332" s="685">
        <f t="shared" si="530"/>
        <v>2</v>
      </c>
      <c r="P332" s="686">
        <f>N332</f>
        <v>2</v>
      </c>
      <c r="Q332" s="686">
        <f t="shared" ref="Q332:AB332" si="531">P332</f>
        <v>2</v>
      </c>
      <c r="R332" s="686">
        <f t="shared" si="531"/>
        <v>2</v>
      </c>
      <c r="S332" s="686">
        <f t="shared" si="531"/>
        <v>2</v>
      </c>
      <c r="T332" s="686">
        <f t="shared" si="531"/>
        <v>2</v>
      </c>
      <c r="U332" s="686">
        <f t="shared" si="531"/>
        <v>2</v>
      </c>
      <c r="V332" s="686">
        <f t="shared" si="531"/>
        <v>2</v>
      </c>
      <c r="W332" s="686">
        <f t="shared" si="531"/>
        <v>2</v>
      </c>
      <c r="X332" s="686">
        <f t="shared" si="531"/>
        <v>2</v>
      </c>
      <c r="Y332" s="686">
        <f t="shared" si="531"/>
        <v>2</v>
      </c>
      <c r="Z332" s="686">
        <f t="shared" si="531"/>
        <v>2</v>
      </c>
      <c r="AA332" s="686">
        <f t="shared" si="531"/>
        <v>2</v>
      </c>
      <c r="AB332" s="686">
        <f t="shared" si="531"/>
        <v>2</v>
      </c>
      <c r="AC332" s="686">
        <f>AA332</f>
        <v>2</v>
      </c>
      <c r="AD332" s="686">
        <f t="shared" ref="AD332:AJ332" si="532">AC332</f>
        <v>2</v>
      </c>
      <c r="AE332" s="686">
        <f t="shared" si="532"/>
        <v>2</v>
      </c>
      <c r="AF332" s="686">
        <f t="shared" si="532"/>
        <v>2</v>
      </c>
      <c r="AG332" s="686">
        <f t="shared" si="532"/>
        <v>2</v>
      </c>
      <c r="AH332" s="686">
        <f t="shared" si="532"/>
        <v>2</v>
      </c>
      <c r="AI332" s="686">
        <f t="shared" si="532"/>
        <v>2</v>
      </c>
      <c r="AJ332" s="686">
        <f t="shared" si="532"/>
        <v>2</v>
      </c>
    </row>
    <row r="333" spans="1:37" s="674" customFormat="1" ht="13.15" customHeight="1" x14ac:dyDescent="0.2">
      <c r="A333" s="680" t="s">
        <v>255</v>
      </c>
      <c r="B333" s="681"/>
      <c r="C333" s="690">
        <f t="shared" ref="C333:N333" si="533">C331*C332</f>
        <v>0</v>
      </c>
      <c r="D333" s="690">
        <f t="shared" si="533"/>
        <v>0</v>
      </c>
      <c r="E333" s="690">
        <f t="shared" si="533"/>
        <v>0</v>
      </c>
      <c r="F333" s="690">
        <f t="shared" si="533"/>
        <v>0</v>
      </c>
      <c r="G333" s="690">
        <f t="shared" si="533"/>
        <v>0</v>
      </c>
      <c r="H333" s="690">
        <f t="shared" si="533"/>
        <v>0</v>
      </c>
      <c r="I333" s="690">
        <f t="shared" si="533"/>
        <v>0</v>
      </c>
      <c r="J333" s="690">
        <f t="shared" si="533"/>
        <v>0</v>
      </c>
      <c r="K333" s="690">
        <f t="shared" si="533"/>
        <v>0</v>
      </c>
      <c r="L333" s="690">
        <f t="shared" si="533"/>
        <v>0</v>
      </c>
      <c r="M333" s="690">
        <f t="shared" si="533"/>
        <v>0</v>
      </c>
      <c r="N333" s="690">
        <f t="shared" si="533"/>
        <v>0</v>
      </c>
      <c r="O333" s="691">
        <f>SUM(C333:N333)</f>
        <v>0</v>
      </c>
      <c r="P333" s="690">
        <f t="shared" ref="P333:AA333" si="534">P331*P332</f>
        <v>0</v>
      </c>
      <c r="Q333" s="690">
        <f t="shared" si="534"/>
        <v>0</v>
      </c>
      <c r="R333" s="690">
        <f t="shared" si="534"/>
        <v>0</v>
      </c>
      <c r="S333" s="690">
        <f t="shared" si="534"/>
        <v>0</v>
      </c>
      <c r="T333" s="690">
        <f t="shared" si="534"/>
        <v>0</v>
      </c>
      <c r="U333" s="690">
        <f t="shared" si="534"/>
        <v>0</v>
      </c>
      <c r="V333" s="690">
        <f t="shared" si="534"/>
        <v>0</v>
      </c>
      <c r="W333" s="690">
        <f t="shared" si="534"/>
        <v>0</v>
      </c>
      <c r="X333" s="690">
        <f t="shared" si="534"/>
        <v>0</v>
      </c>
      <c r="Y333" s="690">
        <f t="shared" si="534"/>
        <v>0</v>
      </c>
      <c r="Z333" s="690">
        <f t="shared" si="534"/>
        <v>0</v>
      </c>
      <c r="AA333" s="690">
        <f t="shared" si="534"/>
        <v>0</v>
      </c>
      <c r="AB333" s="691">
        <f>SUM(P333:AA333)</f>
        <v>0</v>
      </c>
      <c r="AC333" s="690">
        <f t="shared" ref="AC333:AJ333" si="535">AC331*AC332</f>
        <v>0</v>
      </c>
      <c r="AD333" s="690">
        <f t="shared" si="535"/>
        <v>240.78600000000009</v>
      </c>
      <c r="AE333" s="690">
        <f t="shared" si="535"/>
        <v>744.0287400000002</v>
      </c>
      <c r="AF333" s="690">
        <f t="shared" si="535"/>
        <v>1517.8186296000006</v>
      </c>
      <c r="AG333" s="690">
        <f t="shared" si="535"/>
        <v>3065.9936317920015</v>
      </c>
      <c r="AH333" s="690">
        <f t="shared" si="535"/>
        <v>4598.990447688001</v>
      </c>
      <c r="AI333" s="690">
        <f t="shared" si="535"/>
        <v>5535.8218351800015</v>
      </c>
      <c r="AJ333" s="690">
        <f t="shared" si="535"/>
        <v>6387.4867328999999</v>
      </c>
    </row>
    <row r="335" spans="1:37" s="674" customFormat="1" ht="13.15" customHeight="1" x14ac:dyDescent="0.2">
      <c r="A335" s="680" t="s">
        <v>253</v>
      </c>
      <c r="B335" s="681"/>
      <c r="C335" s="689">
        <v>0</v>
      </c>
      <c r="D335" s="689">
        <v>0</v>
      </c>
      <c r="E335" s="689">
        <v>0</v>
      </c>
      <c r="F335" s="689">
        <v>0</v>
      </c>
      <c r="G335" s="689">
        <v>0</v>
      </c>
      <c r="H335" s="689">
        <v>0</v>
      </c>
      <c r="I335" s="689">
        <v>0</v>
      </c>
      <c r="J335" s="689">
        <v>0</v>
      </c>
      <c r="K335" s="689">
        <v>0</v>
      </c>
      <c r="L335" s="689">
        <v>0</v>
      </c>
      <c r="M335" s="689">
        <v>0</v>
      </c>
      <c r="N335" s="689">
        <v>0</v>
      </c>
      <c r="O335" s="690">
        <f>N335</f>
        <v>0</v>
      </c>
      <c r="P335" s="689">
        <f>N335</f>
        <v>0</v>
      </c>
      <c r="Q335" s="689">
        <f t="shared" ref="Q335:AB335" si="536">P335</f>
        <v>0</v>
      </c>
      <c r="R335" s="689">
        <f t="shared" si="536"/>
        <v>0</v>
      </c>
      <c r="S335" s="689">
        <f t="shared" si="536"/>
        <v>0</v>
      </c>
      <c r="T335" s="689">
        <f t="shared" si="536"/>
        <v>0</v>
      </c>
      <c r="U335" s="689">
        <f t="shared" si="536"/>
        <v>0</v>
      </c>
      <c r="V335" s="689">
        <f t="shared" si="536"/>
        <v>0</v>
      </c>
      <c r="W335" s="689">
        <f t="shared" si="536"/>
        <v>0</v>
      </c>
      <c r="X335" s="689">
        <f t="shared" si="536"/>
        <v>0</v>
      </c>
      <c r="Y335" s="689">
        <f t="shared" si="536"/>
        <v>0</v>
      </c>
      <c r="Z335" s="689">
        <f t="shared" si="536"/>
        <v>0</v>
      </c>
      <c r="AA335" s="689">
        <f t="shared" si="536"/>
        <v>0</v>
      </c>
      <c r="AB335" s="690">
        <f t="shared" si="536"/>
        <v>0</v>
      </c>
      <c r="AC335" s="689">
        <f>AA335</f>
        <v>0</v>
      </c>
      <c r="AD335" s="689">
        <f t="shared" ref="AD335:AJ335" si="537">AC335</f>
        <v>0</v>
      </c>
      <c r="AE335" s="689">
        <f t="shared" si="537"/>
        <v>0</v>
      </c>
      <c r="AF335" s="689">
        <f t="shared" si="537"/>
        <v>0</v>
      </c>
      <c r="AG335" s="689">
        <f t="shared" si="537"/>
        <v>0</v>
      </c>
      <c r="AH335" s="689">
        <f t="shared" si="537"/>
        <v>0</v>
      </c>
      <c r="AI335" s="689">
        <f t="shared" si="537"/>
        <v>0</v>
      </c>
      <c r="AJ335" s="689">
        <f t="shared" si="537"/>
        <v>0</v>
      </c>
    </row>
    <row r="336" spans="1:37" s="674" customFormat="1" ht="13.15" customHeight="1" x14ac:dyDescent="0.2">
      <c r="A336" s="680" t="s">
        <v>252</v>
      </c>
      <c r="B336" s="681"/>
      <c r="C336" s="689">
        <f>100/12</f>
        <v>8.3333333333333339</v>
      </c>
      <c r="D336" s="689">
        <f t="shared" ref="D336:N336" si="538">100/12</f>
        <v>8.3333333333333339</v>
      </c>
      <c r="E336" s="689">
        <f t="shared" si="538"/>
        <v>8.3333333333333339</v>
      </c>
      <c r="F336" s="689">
        <f t="shared" si="538"/>
        <v>8.3333333333333339</v>
      </c>
      <c r="G336" s="689">
        <f t="shared" si="538"/>
        <v>8.3333333333333339</v>
      </c>
      <c r="H336" s="689">
        <f t="shared" si="538"/>
        <v>8.3333333333333339</v>
      </c>
      <c r="I336" s="689">
        <f t="shared" si="538"/>
        <v>8.3333333333333339</v>
      </c>
      <c r="J336" s="689">
        <f t="shared" si="538"/>
        <v>8.3333333333333339</v>
      </c>
      <c r="K336" s="689">
        <f t="shared" si="538"/>
        <v>8.3333333333333339</v>
      </c>
      <c r="L336" s="689">
        <f t="shared" si="538"/>
        <v>8.3333333333333339</v>
      </c>
      <c r="M336" s="689">
        <f t="shared" si="538"/>
        <v>8.3333333333333339</v>
      </c>
      <c r="N336" s="689">
        <f t="shared" si="538"/>
        <v>8.3333333333333339</v>
      </c>
      <c r="O336" s="683">
        <f>SUM(C336:N336)</f>
        <v>99.999999999999986</v>
      </c>
      <c r="P336" s="689">
        <f t="shared" ref="P336:AA336" si="539">100/12</f>
        <v>8.3333333333333339</v>
      </c>
      <c r="Q336" s="689">
        <f t="shared" si="539"/>
        <v>8.3333333333333339</v>
      </c>
      <c r="R336" s="689">
        <f t="shared" si="539"/>
        <v>8.3333333333333339</v>
      </c>
      <c r="S336" s="689">
        <f t="shared" si="539"/>
        <v>8.3333333333333339</v>
      </c>
      <c r="T336" s="689">
        <f t="shared" si="539"/>
        <v>8.3333333333333339</v>
      </c>
      <c r="U336" s="689">
        <f t="shared" si="539"/>
        <v>8.3333333333333339</v>
      </c>
      <c r="V336" s="689">
        <f t="shared" si="539"/>
        <v>8.3333333333333339</v>
      </c>
      <c r="W336" s="689">
        <f t="shared" si="539"/>
        <v>8.3333333333333339</v>
      </c>
      <c r="X336" s="689">
        <f t="shared" si="539"/>
        <v>8.3333333333333339</v>
      </c>
      <c r="Y336" s="689">
        <f t="shared" si="539"/>
        <v>8.3333333333333339</v>
      </c>
      <c r="Z336" s="689">
        <f t="shared" si="539"/>
        <v>8.3333333333333339</v>
      </c>
      <c r="AA336" s="689">
        <f t="shared" si="539"/>
        <v>8.3333333333333339</v>
      </c>
      <c r="AB336" s="683">
        <f>SUM(P336:AA336)</f>
        <v>99.999999999999986</v>
      </c>
      <c r="AC336" s="689">
        <v>100</v>
      </c>
      <c r="AD336" s="689">
        <v>100</v>
      </c>
      <c r="AE336" s="689">
        <v>100</v>
      </c>
      <c r="AF336" s="689">
        <v>100</v>
      </c>
      <c r="AG336" s="689">
        <v>100</v>
      </c>
      <c r="AH336" s="689">
        <v>100</v>
      </c>
      <c r="AI336" s="689">
        <v>100</v>
      </c>
      <c r="AJ336" s="689">
        <v>100</v>
      </c>
    </row>
    <row r="337" spans="1:37" s="674" customFormat="1" ht="13.15" customHeight="1" x14ac:dyDescent="0.2">
      <c r="A337" s="680" t="s">
        <v>254</v>
      </c>
      <c r="B337" s="681"/>
      <c r="C337" s="690">
        <f t="shared" ref="C337:N337" si="540">C335*C336</f>
        <v>0</v>
      </c>
      <c r="D337" s="690">
        <f t="shared" si="540"/>
        <v>0</v>
      </c>
      <c r="E337" s="690">
        <f t="shared" si="540"/>
        <v>0</v>
      </c>
      <c r="F337" s="690">
        <f t="shared" si="540"/>
        <v>0</v>
      </c>
      <c r="G337" s="690">
        <f t="shared" si="540"/>
        <v>0</v>
      </c>
      <c r="H337" s="690">
        <f t="shared" si="540"/>
        <v>0</v>
      </c>
      <c r="I337" s="690">
        <f t="shared" si="540"/>
        <v>0</v>
      </c>
      <c r="J337" s="690">
        <f t="shared" si="540"/>
        <v>0</v>
      </c>
      <c r="K337" s="690">
        <f t="shared" si="540"/>
        <v>0</v>
      </c>
      <c r="L337" s="690">
        <f t="shared" si="540"/>
        <v>0</v>
      </c>
      <c r="M337" s="690">
        <f t="shared" si="540"/>
        <v>0</v>
      </c>
      <c r="N337" s="690">
        <f t="shared" si="540"/>
        <v>0</v>
      </c>
      <c r="O337" s="683">
        <f>SUM(C337:N337)</f>
        <v>0</v>
      </c>
      <c r="P337" s="690">
        <f t="shared" ref="P337:AA337" si="541">P335*P336</f>
        <v>0</v>
      </c>
      <c r="Q337" s="690">
        <f t="shared" si="541"/>
        <v>0</v>
      </c>
      <c r="R337" s="690">
        <f t="shared" si="541"/>
        <v>0</v>
      </c>
      <c r="S337" s="690">
        <f t="shared" si="541"/>
        <v>0</v>
      </c>
      <c r="T337" s="690">
        <f t="shared" si="541"/>
        <v>0</v>
      </c>
      <c r="U337" s="690">
        <f t="shared" si="541"/>
        <v>0</v>
      </c>
      <c r="V337" s="690">
        <f t="shared" si="541"/>
        <v>0</v>
      </c>
      <c r="W337" s="690">
        <f t="shared" si="541"/>
        <v>0</v>
      </c>
      <c r="X337" s="690">
        <f t="shared" si="541"/>
        <v>0</v>
      </c>
      <c r="Y337" s="690">
        <f t="shared" si="541"/>
        <v>0</v>
      </c>
      <c r="Z337" s="690">
        <f t="shared" si="541"/>
        <v>0</v>
      </c>
      <c r="AA337" s="690">
        <f t="shared" si="541"/>
        <v>0</v>
      </c>
      <c r="AB337" s="690">
        <f>SUM(P337:AA337)</f>
        <v>0</v>
      </c>
      <c r="AC337" s="690">
        <f t="shared" ref="AC337:AJ337" si="542">AC335*AC336</f>
        <v>0</v>
      </c>
      <c r="AD337" s="690">
        <f t="shared" si="542"/>
        <v>0</v>
      </c>
      <c r="AE337" s="690">
        <f t="shared" si="542"/>
        <v>0</v>
      </c>
      <c r="AF337" s="690">
        <f t="shared" si="542"/>
        <v>0</v>
      </c>
      <c r="AG337" s="690">
        <f t="shared" si="542"/>
        <v>0</v>
      </c>
      <c r="AH337" s="690">
        <f t="shared" si="542"/>
        <v>0</v>
      </c>
      <c r="AI337" s="690">
        <f t="shared" si="542"/>
        <v>0</v>
      </c>
      <c r="AJ337" s="690">
        <f t="shared" si="542"/>
        <v>0</v>
      </c>
    </row>
    <row r="338" spans="1:37" s="674" customFormat="1" ht="13.15" customHeight="1" x14ac:dyDescent="0.2">
      <c r="A338" s="680" t="s">
        <v>249</v>
      </c>
      <c r="B338" s="681"/>
      <c r="C338" s="686">
        <f>C332</f>
        <v>2</v>
      </c>
      <c r="D338" s="686">
        <f t="shared" ref="D338:AJ338" si="543">D332</f>
        <v>2</v>
      </c>
      <c r="E338" s="686">
        <f t="shared" si="543"/>
        <v>2</v>
      </c>
      <c r="F338" s="686">
        <f t="shared" si="543"/>
        <v>2</v>
      </c>
      <c r="G338" s="686">
        <f t="shared" si="543"/>
        <v>2</v>
      </c>
      <c r="H338" s="686">
        <f t="shared" si="543"/>
        <v>2</v>
      </c>
      <c r="I338" s="686">
        <f t="shared" si="543"/>
        <v>2</v>
      </c>
      <c r="J338" s="686">
        <f t="shared" si="543"/>
        <v>2</v>
      </c>
      <c r="K338" s="686">
        <f t="shared" si="543"/>
        <v>2</v>
      </c>
      <c r="L338" s="686">
        <f t="shared" si="543"/>
        <v>2</v>
      </c>
      <c r="M338" s="686">
        <f t="shared" si="543"/>
        <v>2</v>
      </c>
      <c r="N338" s="686">
        <f t="shared" si="543"/>
        <v>2</v>
      </c>
      <c r="O338" s="686">
        <f t="shared" si="543"/>
        <v>2</v>
      </c>
      <c r="P338" s="686">
        <f t="shared" si="543"/>
        <v>2</v>
      </c>
      <c r="Q338" s="686">
        <f t="shared" si="543"/>
        <v>2</v>
      </c>
      <c r="R338" s="686">
        <f t="shared" si="543"/>
        <v>2</v>
      </c>
      <c r="S338" s="686">
        <f t="shared" si="543"/>
        <v>2</v>
      </c>
      <c r="T338" s="686">
        <f t="shared" si="543"/>
        <v>2</v>
      </c>
      <c r="U338" s="686">
        <f t="shared" si="543"/>
        <v>2</v>
      </c>
      <c r="V338" s="686">
        <f t="shared" si="543"/>
        <v>2</v>
      </c>
      <c r="W338" s="686">
        <f t="shared" si="543"/>
        <v>2</v>
      </c>
      <c r="X338" s="686">
        <f t="shared" si="543"/>
        <v>2</v>
      </c>
      <c r="Y338" s="686">
        <f t="shared" si="543"/>
        <v>2</v>
      </c>
      <c r="Z338" s="686">
        <f t="shared" si="543"/>
        <v>2</v>
      </c>
      <c r="AA338" s="686">
        <f t="shared" si="543"/>
        <v>2</v>
      </c>
      <c r="AB338" s="686">
        <f t="shared" si="543"/>
        <v>2</v>
      </c>
      <c r="AC338" s="686">
        <f t="shared" si="543"/>
        <v>2</v>
      </c>
      <c r="AD338" s="686">
        <f t="shared" si="543"/>
        <v>2</v>
      </c>
      <c r="AE338" s="686">
        <f t="shared" si="543"/>
        <v>2</v>
      </c>
      <c r="AF338" s="686">
        <f t="shared" si="543"/>
        <v>2</v>
      </c>
      <c r="AG338" s="686">
        <f t="shared" si="543"/>
        <v>2</v>
      </c>
      <c r="AH338" s="686">
        <f t="shared" si="543"/>
        <v>2</v>
      </c>
      <c r="AI338" s="686">
        <f t="shared" si="543"/>
        <v>2</v>
      </c>
      <c r="AJ338" s="686">
        <f t="shared" si="543"/>
        <v>2</v>
      </c>
    </row>
    <row r="339" spans="1:37" s="674" customFormat="1" ht="13.15" customHeight="1" x14ac:dyDescent="0.2">
      <c r="A339" s="680" t="s">
        <v>255</v>
      </c>
      <c r="B339" s="681"/>
      <c r="C339" s="690">
        <f t="shared" ref="C339:N339" si="544">C337*C338</f>
        <v>0</v>
      </c>
      <c r="D339" s="690">
        <f t="shared" si="544"/>
        <v>0</v>
      </c>
      <c r="E339" s="690">
        <f t="shared" si="544"/>
        <v>0</v>
      </c>
      <c r="F339" s="690">
        <f t="shared" si="544"/>
        <v>0</v>
      </c>
      <c r="G339" s="690">
        <f t="shared" si="544"/>
        <v>0</v>
      </c>
      <c r="H339" s="690">
        <f t="shared" si="544"/>
        <v>0</v>
      </c>
      <c r="I339" s="690">
        <f t="shared" si="544"/>
        <v>0</v>
      </c>
      <c r="J339" s="690">
        <f t="shared" si="544"/>
        <v>0</v>
      </c>
      <c r="K339" s="690">
        <f t="shared" si="544"/>
        <v>0</v>
      </c>
      <c r="L339" s="690">
        <f t="shared" si="544"/>
        <v>0</v>
      </c>
      <c r="M339" s="690">
        <f t="shared" si="544"/>
        <v>0</v>
      </c>
      <c r="N339" s="690">
        <f t="shared" si="544"/>
        <v>0</v>
      </c>
      <c r="O339" s="691">
        <f>SUM(C339:N339)</f>
        <v>0</v>
      </c>
      <c r="P339" s="690">
        <f t="shared" ref="P339:AA339" si="545">P337*P338</f>
        <v>0</v>
      </c>
      <c r="Q339" s="690">
        <f t="shared" si="545"/>
        <v>0</v>
      </c>
      <c r="R339" s="690">
        <f t="shared" si="545"/>
        <v>0</v>
      </c>
      <c r="S339" s="690">
        <f t="shared" si="545"/>
        <v>0</v>
      </c>
      <c r="T339" s="690">
        <f t="shared" si="545"/>
        <v>0</v>
      </c>
      <c r="U339" s="690">
        <f t="shared" si="545"/>
        <v>0</v>
      </c>
      <c r="V339" s="690">
        <f t="shared" si="545"/>
        <v>0</v>
      </c>
      <c r="W339" s="690">
        <f t="shared" si="545"/>
        <v>0</v>
      </c>
      <c r="X339" s="690">
        <f t="shared" si="545"/>
        <v>0</v>
      </c>
      <c r="Y339" s="690">
        <f t="shared" si="545"/>
        <v>0</v>
      </c>
      <c r="Z339" s="690">
        <f t="shared" si="545"/>
        <v>0</v>
      </c>
      <c r="AA339" s="690">
        <f t="shared" si="545"/>
        <v>0</v>
      </c>
      <c r="AB339" s="691">
        <f>SUM(P339:AA339)</f>
        <v>0</v>
      </c>
      <c r="AC339" s="690">
        <f t="shared" ref="AC339:AJ339" si="546">AC337*AC338</f>
        <v>0</v>
      </c>
      <c r="AD339" s="690">
        <f t="shared" si="546"/>
        <v>0</v>
      </c>
      <c r="AE339" s="690">
        <f t="shared" si="546"/>
        <v>0</v>
      </c>
      <c r="AF339" s="690">
        <f t="shared" si="546"/>
        <v>0</v>
      </c>
      <c r="AG339" s="690">
        <f t="shared" si="546"/>
        <v>0</v>
      </c>
      <c r="AH339" s="690">
        <f t="shared" si="546"/>
        <v>0</v>
      </c>
      <c r="AI339" s="690">
        <f t="shared" si="546"/>
        <v>0</v>
      </c>
      <c r="AJ339" s="690">
        <f t="shared" si="546"/>
        <v>0</v>
      </c>
    </row>
    <row r="340" spans="1:37" s="674" customFormat="1" ht="13.15" customHeight="1" x14ac:dyDescent="0.2">
      <c r="B340" s="681"/>
      <c r="C340" s="682"/>
      <c r="D340" s="682"/>
      <c r="E340" s="682"/>
      <c r="F340" s="682"/>
      <c r="G340" s="682"/>
      <c r="H340" s="682"/>
      <c r="I340" s="682"/>
      <c r="J340" s="682"/>
      <c r="K340" s="682"/>
      <c r="L340" s="682"/>
      <c r="M340" s="682"/>
      <c r="N340" s="682"/>
      <c r="O340" s="683"/>
      <c r="P340" s="682"/>
      <c r="Q340" s="682"/>
      <c r="R340" s="682"/>
      <c r="S340" s="682"/>
      <c r="T340" s="682"/>
      <c r="U340" s="682"/>
      <c r="V340" s="682"/>
      <c r="W340" s="682"/>
      <c r="X340" s="682"/>
      <c r="Y340" s="682"/>
      <c r="Z340" s="682"/>
      <c r="AA340" s="682"/>
      <c r="AB340" s="683"/>
      <c r="AC340" s="683"/>
      <c r="AD340" s="683"/>
      <c r="AE340" s="683"/>
    </row>
    <row r="341" spans="1:37" s="674" customFormat="1" ht="13.15" customHeight="1" x14ac:dyDescent="0.2">
      <c r="A341" s="680" t="s">
        <v>256</v>
      </c>
      <c r="B341" s="681"/>
      <c r="C341" s="689">
        <v>0</v>
      </c>
      <c r="D341" s="689">
        <v>0</v>
      </c>
      <c r="E341" s="689">
        <v>0</v>
      </c>
      <c r="F341" s="689">
        <v>0</v>
      </c>
      <c r="G341" s="689">
        <v>0</v>
      </c>
      <c r="H341" s="689">
        <v>0</v>
      </c>
      <c r="I341" s="689">
        <v>0</v>
      </c>
      <c r="J341" s="689">
        <v>0</v>
      </c>
      <c r="K341" s="689">
        <v>0</v>
      </c>
      <c r="L341" s="689">
        <v>0</v>
      </c>
      <c r="M341" s="689">
        <v>0</v>
      </c>
      <c r="N341" s="689">
        <v>0</v>
      </c>
      <c r="O341" s="690">
        <f>N341</f>
        <v>0</v>
      </c>
      <c r="P341" s="689">
        <f>N341</f>
        <v>0</v>
      </c>
      <c r="Q341" s="689">
        <f t="shared" ref="Q341:AB341" si="547">P341</f>
        <v>0</v>
      </c>
      <c r="R341" s="689">
        <f t="shared" si="547"/>
        <v>0</v>
      </c>
      <c r="S341" s="689">
        <f t="shared" si="547"/>
        <v>0</v>
      </c>
      <c r="T341" s="689">
        <f t="shared" si="547"/>
        <v>0</v>
      </c>
      <c r="U341" s="689">
        <f t="shared" si="547"/>
        <v>0</v>
      </c>
      <c r="V341" s="689">
        <f t="shared" si="547"/>
        <v>0</v>
      </c>
      <c r="W341" s="689">
        <f t="shared" si="547"/>
        <v>0</v>
      </c>
      <c r="X341" s="689">
        <f t="shared" si="547"/>
        <v>0</v>
      </c>
      <c r="Y341" s="689">
        <f t="shared" si="547"/>
        <v>0</v>
      </c>
      <c r="Z341" s="689">
        <f t="shared" si="547"/>
        <v>0</v>
      </c>
      <c r="AA341" s="689">
        <f t="shared" si="547"/>
        <v>0</v>
      </c>
      <c r="AB341" s="690">
        <f t="shared" si="547"/>
        <v>0</v>
      </c>
      <c r="AC341" s="689">
        <f>AA341</f>
        <v>0</v>
      </c>
      <c r="AD341" s="689">
        <f t="shared" ref="AD341:AJ341" si="548">AC341</f>
        <v>0</v>
      </c>
      <c r="AE341" s="689">
        <f t="shared" si="548"/>
        <v>0</v>
      </c>
      <c r="AF341" s="689">
        <f t="shared" si="548"/>
        <v>0</v>
      </c>
      <c r="AG341" s="689">
        <f t="shared" si="548"/>
        <v>0</v>
      </c>
      <c r="AH341" s="689">
        <f t="shared" si="548"/>
        <v>0</v>
      </c>
      <c r="AI341" s="689">
        <f t="shared" si="548"/>
        <v>0</v>
      </c>
      <c r="AJ341" s="689">
        <f t="shared" si="548"/>
        <v>0</v>
      </c>
    </row>
    <row r="342" spans="1:37" s="674" customFormat="1" ht="13.15" customHeight="1" x14ac:dyDescent="0.2">
      <c r="A342" s="680" t="s">
        <v>252</v>
      </c>
      <c r="B342" s="681"/>
      <c r="C342" s="689">
        <f>300/12</f>
        <v>25</v>
      </c>
      <c r="D342" s="689">
        <f t="shared" ref="D342:N342" si="549">300/12</f>
        <v>25</v>
      </c>
      <c r="E342" s="689">
        <f t="shared" si="549"/>
        <v>25</v>
      </c>
      <c r="F342" s="689">
        <f t="shared" si="549"/>
        <v>25</v>
      </c>
      <c r="G342" s="689">
        <f t="shared" si="549"/>
        <v>25</v>
      </c>
      <c r="H342" s="689">
        <f t="shared" si="549"/>
        <v>25</v>
      </c>
      <c r="I342" s="689">
        <f t="shared" si="549"/>
        <v>25</v>
      </c>
      <c r="J342" s="689">
        <f t="shared" si="549"/>
        <v>25</v>
      </c>
      <c r="K342" s="689">
        <f t="shared" si="549"/>
        <v>25</v>
      </c>
      <c r="L342" s="689">
        <f t="shared" si="549"/>
        <v>25</v>
      </c>
      <c r="M342" s="689">
        <f t="shared" si="549"/>
        <v>25</v>
      </c>
      <c r="N342" s="689">
        <f t="shared" si="549"/>
        <v>25</v>
      </c>
      <c r="O342" s="683">
        <f>SUM(C342:N342)</f>
        <v>300</v>
      </c>
      <c r="P342" s="689">
        <f>300/12</f>
        <v>25</v>
      </c>
      <c r="Q342" s="689">
        <f t="shared" ref="Q342:AA342" si="550">300/12</f>
        <v>25</v>
      </c>
      <c r="R342" s="689">
        <f t="shared" si="550"/>
        <v>25</v>
      </c>
      <c r="S342" s="689">
        <f t="shared" si="550"/>
        <v>25</v>
      </c>
      <c r="T342" s="689">
        <f t="shared" si="550"/>
        <v>25</v>
      </c>
      <c r="U342" s="689">
        <f t="shared" si="550"/>
        <v>25</v>
      </c>
      <c r="V342" s="689">
        <f t="shared" si="550"/>
        <v>25</v>
      </c>
      <c r="W342" s="689">
        <f t="shared" si="550"/>
        <v>25</v>
      </c>
      <c r="X342" s="689">
        <f t="shared" si="550"/>
        <v>25</v>
      </c>
      <c r="Y342" s="689">
        <f t="shared" si="550"/>
        <v>25</v>
      </c>
      <c r="Z342" s="689">
        <f t="shared" si="550"/>
        <v>25</v>
      </c>
      <c r="AA342" s="689">
        <f t="shared" si="550"/>
        <v>25</v>
      </c>
      <c r="AB342" s="683">
        <f>SUM(P342:AA342)</f>
        <v>300</v>
      </c>
      <c r="AC342" s="689">
        <v>300</v>
      </c>
      <c r="AD342" s="689">
        <v>300</v>
      </c>
      <c r="AE342" s="689">
        <v>300</v>
      </c>
      <c r="AF342" s="689">
        <v>300</v>
      </c>
      <c r="AG342" s="689">
        <v>300</v>
      </c>
      <c r="AH342" s="689">
        <v>300</v>
      </c>
      <c r="AI342" s="689">
        <v>300</v>
      </c>
      <c r="AJ342" s="689">
        <v>300</v>
      </c>
    </row>
    <row r="343" spans="1:37" s="674" customFormat="1" ht="13.15" customHeight="1" x14ac:dyDescent="0.2">
      <c r="A343" s="680" t="s">
        <v>254</v>
      </c>
      <c r="B343" s="681"/>
      <c r="C343" s="690">
        <f t="shared" ref="C343:N343" si="551">C341*C342</f>
        <v>0</v>
      </c>
      <c r="D343" s="690">
        <f t="shared" si="551"/>
        <v>0</v>
      </c>
      <c r="E343" s="690">
        <f t="shared" si="551"/>
        <v>0</v>
      </c>
      <c r="F343" s="690">
        <f t="shared" si="551"/>
        <v>0</v>
      </c>
      <c r="G343" s="690">
        <f t="shared" si="551"/>
        <v>0</v>
      </c>
      <c r="H343" s="690">
        <f t="shared" si="551"/>
        <v>0</v>
      </c>
      <c r="I343" s="690">
        <f t="shared" si="551"/>
        <v>0</v>
      </c>
      <c r="J343" s="690">
        <f t="shared" si="551"/>
        <v>0</v>
      </c>
      <c r="K343" s="690">
        <f t="shared" si="551"/>
        <v>0</v>
      </c>
      <c r="L343" s="690">
        <f t="shared" si="551"/>
        <v>0</v>
      </c>
      <c r="M343" s="690">
        <f t="shared" si="551"/>
        <v>0</v>
      </c>
      <c r="N343" s="690">
        <f t="shared" si="551"/>
        <v>0</v>
      </c>
      <c r="O343" s="683">
        <f>SUM(C343:N343)</f>
        <v>0</v>
      </c>
      <c r="P343" s="690">
        <f t="shared" ref="P343:AA343" si="552">P341*P342</f>
        <v>0</v>
      </c>
      <c r="Q343" s="690">
        <f t="shared" si="552"/>
        <v>0</v>
      </c>
      <c r="R343" s="690">
        <f t="shared" si="552"/>
        <v>0</v>
      </c>
      <c r="S343" s="690">
        <f t="shared" si="552"/>
        <v>0</v>
      </c>
      <c r="T343" s="690">
        <f t="shared" si="552"/>
        <v>0</v>
      </c>
      <c r="U343" s="690">
        <f t="shared" si="552"/>
        <v>0</v>
      </c>
      <c r="V343" s="690">
        <f t="shared" si="552"/>
        <v>0</v>
      </c>
      <c r="W343" s="690">
        <f t="shared" si="552"/>
        <v>0</v>
      </c>
      <c r="X343" s="690">
        <f t="shared" si="552"/>
        <v>0</v>
      </c>
      <c r="Y343" s="690">
        <f t="shared" si="552"/>
        <v>0</v>
      </c>
      <c r="Z343" s="690">
        <f t="shared" si="552"/>
        <v>0</v>
      </c>
      <c r="AA343" s="690">
        <f t="shared" si="552"/>
        <v>0</v>
      </c>
      <c r="AB343" s="683">
        <f>SUM(P343:AA343)</f>
        <v>0</v>
      </c>
      <c r="AC343" s="690">
        <f t="shared" ref="AC343:AJ343" si="553">AC341*AC342</f>
        <v>0</v>
      </c>
      <c r="AD343" s="690">
        <f t="shared" si="553"/>
        <v>0</v>
      </c>
      <c r="AE343" s="690">
        <f t="shared" si="553"/>
        <v>0</v>
      </c>
      <c r="AF343" s="690">
        <f t="shared" si="553"/>
        <v>0</v>
      </c>
      <c r="AG343" s="690">
        <f t="shared" si="553"/>
        <v>0</v>
      </c>
      <c r="AH343" s="690">
        <f t="shared" si="553"/>
        <v>0</v>
      </c>
      <c r="AI343" s="690">
        <f t="shared" si="553"/>
        <v>0</v>
      </c>
      <c r="AJ343" s="690">
        <f t="shared" si="553"/>
        <v>0</v>
      </c>
    </row>
    <row r="344" spans="1:37" s="674" customFormat="1" ht="13.15" customHeight="1" x14ac:dyDescent="0.2">
      <c r="A344" s="680" t="s">
        <v>249</v>
      </c>
      <c r="B344" s="681"/>
      <c r="C344" s="686">
        <f>C332</f>
        <v>2</v>
      </c>
      <c r="D344" s="686">
        <f t="shared" ref="D344:AJ344" si="554">D332</f>
        <v>2</v>
      </c>
      <c r="E344" s="686">
        <f t="shared" si="554"/>
        <v>2</v>
      </c>
      <c r="F344" s="686">
        <f t="shared" si="554"/>
        <v>2</v>
      </c>
      <c r="G344" s="686">
        <f t="shared" si="554"/>
        <v>2</v>
      </c>
      <c r="H344" s="686">
        <f t="shared" si="554"/>
        <v>2</v>
      </c>
      <c r="I344" s="686">
        <f t="shared" si="554"/>
        <v>2</v>
      </c>
      <c r="J344" s="686">
        <f t="shared" si="554"/>
        <v>2</v>
      </c>
      <c r="K344" s="686">
        <f t="shared" si="554"/>
        <v>2</v>
      </c>
      <c r="L344" s="686">
        <f t="shared" si="554"/>
        <v>2</v>
      </c>
      <c r="M344" s="686">
        <f t="shared" si="554"/>
        <v>2</v>
      </c>
      <c r="N344" s="686">
        <f t="shared" si="554"/>
        <v>2</v>
      </c>
      <c r="O344" s="686">
        <f t="shared" si="554"/>
        <v>2</v>
      </c>
      <c r="P344" s="686">
        <f t="shared" si="554"/>
        <v>2</v>
      </c>
      <c r="Q344" s="686">
        <f t="shared" si="554"/>
        <v>2</v>
      </c>
      <c r="R344" s="686">
        <f t="shared" si="554"/>
        <v>2</v>
      </c>
      <c r="S344" s="686">
        <f t="shared" si="554"/>
        <v>2</v>
      </c>
      <c r="T344" s="686">
        <f t="shared" si="554"/>
        <v>2</v>
      </c>
      <c r="U344" s="686">
        <f t="shared" si="554"/>
        <v>2</v>
      </c>
      <c r="V344" s="686">
        <f t="shared" si="554"/>
        <v>2</v>
      </c>
      <c r="W344" s="686">
        <f t="shared" si="554"/>
        <v>2</v>
      </c>
      <c r="X344" s="686">
        <f t="shared" si="554"/>
        <v>2</v>
      </c>
      <c r="Y344" s="686">
        <f t="shared" si="554"/>
        <v>2</v>
      </c>
      <c r="Z344" s="686">
        <f t="shared" si="554"/>
        <v>2</v>
      </c>
      <c r="AA344" s="686">
        <f t="shared" si="554"/>
        <v>2</v>
      </c>
      <c r="AB344" s="686">
        <f t="shared" si="554"/>
        <v>2</v>
      </c>
      <c r="AC344" s="686">
        <f t="shared" si="554"/>
        <v>2</v>
      </c>
      <c r="AD344" s="686">
        <f t="shared" si="554"/>
        <v>2</v>
      </c>
      <c r="AE344" s="686">
        <f t="shared" si="554"/>
        <v>2</v>
      </c>
      <c r="AF344" s="686">
        <f t="shared" si="554"/>
        <v>2</v>
      </c>
      <c r="AG344" s="686">
        <f t="shared" si="554"/>
        <v>2</v>
      </c>
      <c r="AH344" s="686">
        <f t="shared" si="554"/>
        <v>2</v>
      </c>
      <c r="AI344" s="686">
        <f t="shared" si="554"/>
        <v>2</v>
      </c>
      <c r="AJ344" s="686">
        <f t="shared" si="554"/>
        <v>2</v>
      </c>
    </row>
    <row r="345" spans="1:37" s="674" customFormat="1" ht="13.15" customHeight="1" x14ac:dyDescent="0.2">
      <c r="A345" s="680" t="s">
        <v>255</v>
      </c>
      <c r="B345" s="681"/>
      <c r="C345" s="690">
        <f t="shared" ref="C345:N345" si="555">C343*C344</f>
        <v>0</v>
      </c>
      <c r="D345" s="690">
        <f t="shared" si="555"/>
        <v>0</v>
      </c>
      <c r="E345" s="690">
        <f t="shared" si="555"/>
        <v>0</v>
      </c>
      <c r="F345" s="690">
        <f t="shared" si="555"/>
        <v>0</v>
      </c>
      <c r="G345" s="690">
        <f t="shared" si="555"/>
        <v>0</v>
      </c>
      <c r="H345" s="690">
        <f t="shared" si="555"/>
        <v>0</v>
      </c>
      <c r="I345" s="690">
        <f t="shared" si="555"/>
        <v>0</v>
      </c>
      <c r="J345" s="690">
        <f t="shared" si="555"/>
        <v>0</v>
      </c>
      <c r="K345" s="690">
        <f t="shared" si="555"/>
        <v>0</v>
      </c>
      <c r="L345" s="690">
        <f t="shared" si="555"/>
        <v>0</v>
      </c>
      <c r="M345" s="690">
        <f t="shared" si="555"/>
        <v>0</v>
      </c>
      <c r="N345" s="690">
        <f t="shared" si="555"/>
        <v>0</v>
      </c>
      <c r="O345" s="691">
        <f>SUM(C345:N345)</f>
        <v>0</v>
      </c>
      <c r="P345" s="690">
        <f t="shared" ref="P345:AA345" si="556">P343*P344</f>
        <v>0</v>
      </c>
      <c r="Q345" s="690">
        <f t="shared" si="556"/>
        <v>0</v>
      </c>
      <c r="R345" s="690">
        <f t="shared" si="556"/>
        <v>0</v>
      </c>
      <c r="S345" s="690">
        <f t="shared" si="556"/>
        <v>0</v>
      </c>
      <c r="T345" s="690">
        <f t="shared" si="556"/>
        <v>0</v>
      </c>
      <c r="U345" s="690">
        <f t="shared" si="556"/>
        <v>0</v>
      </c>
      <c r="V345" s="690">
        <f t="shared" si="556"/>
        <v>0</v>
      </c>
      <c r="W345" s="690">
        <f t="shared" si="556"/>
        <v>0</v>
      </c>
      <c r="X345" s="690">
        <f t="shared" si="556"/>
        <v>0</v>
      </c>
      <c r="Y345" s="690">
        <f t="shared" si="556"/>
        <v>0</v>
      </c>
      <c r="Z345" s="690">
        <f t="shared" si="556"/>
        <v>0</v>
      </c>
      <c r="AA345" s="690">
        <f t="shared" si="556"/>
        <v>0</v>
      </c>
      <c r="AB345" s="691">
        <f>SUM(P345:AA345)</f>
        <v>0</v>
      </c>
      <c r="AC345" s="690">
        <f t="shared" ref="AC345:AJ345" si="557">AC343*AC344</f>
        <v>0</v>
      </c>
      <c r="AD345" s="690">
        <f t="shared" si="557"/>
        <v>0</v>
      </c>
      <c r="AE345" s="690">
        <f t="shared" si="557"/>
        <v>0</v>
      </c>
      <c r="AF345" s="690">
        <f t="shared" si="557"/>
        <v>0</v>
      </c>
      <c r="AG345" s="690">
        <f t="shared" si="557"/>
        <v>0</v>
      </c>
      <c r="AH345" s="690">
        <f t="shared" si="557"/>
        <v>0</v>
      </c>
      <c r="AI345" s="690">
        <f t="shared" si="557"/>
        <v>0</v>
      </c>
      <c r="AJ345" s="690">
        <f t="shared" si="557"/>
        <v>0</v>
      </c>
    </row>
    <row r="346" spans="1:37" s="674" customFormat="1" ht="13.15" customHeight="1" x14ac:dyDescent="0.2">
      <c r="A346" s="680"/>
      <c r="B346" s="681"/>
      <c r="C346" s="682"/>
      <c r="D346" s="682"/>
      <c r="E346" s="682"/>
      <c r="F346" s="682"/>
      <c r="G346" s="682"/>
      <c r="H346" s="682"/>
      <c r="I346" s="682"/>
      <c r="J346" s="682"/>
      <c r="K346" s="682"/>
      <c r="L346" s="682"/>
      <c r="M346" s="682"/>
      <c r="N346" s="682"/>
      <c r="O346" s="683"/>
      <c r="P346" s="682"/>
      <c r="Q346" s="682"/>
      <c r="R346" s="682"/>
      <c r="S346" s="682"/>
      <c r="T346" s="682"/>
      <c r="U346" s="682"/>
      <c r="V346" s="682"/>
      <c r="W346" s="682"/>
      <c r="X346" s="682"/>
      <c r="Y346" s="682"/>
      <c r="Z346" s="682"/>
      <c r="AA346" s="682"/>
      <c r="AB346" s="683"/>
      <c r="AC346" s="683"/>
      <c r="AD346" s="683"/>
      <c r="AE346" s="683"/>
    </row>
    <row r="347" spans="1:37" s="684" customFormat="1" ht="13.15" customHeight="1" x14ac:dyDescent="0.2">
      <c r="A347" s="676" t="s">
        <v>257</v>
      </c>
      <c r="B347" s="677"/>
      <c r="C347" s="694">
        <f>C333+C339+C345</f>
        <v>0</v>
      </c>
      <c r="D347" s="694">
        <f t="shared" ref="D347:N347" si="558">D333+D339+D345</f>
        <v>0</v>
      </c>
      <c r="E347" s="694">
        <f t="shared" si="558"/>
        <v>0</v>
      </c>
      <c r="F347" s="694">
        <f t="shared" si="558"/>
        <v>0</v>
      </c>
      <c r="G347" s="694">
        <f t="shared" si="558"/>
        <v>0</v>
      </c>
      <c r="H347" s="694">
        <f t="shared" si="558"/>
        <v>0</v>
      </c>
      <c r="I347" s="694">
        <f t="shared" si="558"/>
        <v>0</v>
      </c>
      <c r="J347" s="694">
        <f t="shared" si="558"/>
        <v>0</v>
      </c>
      <c r="K347" s="694">
        <f t="shared" si="558"/>
        <v>0</v>
      </c>
      <c r="L347" s="694">
        <f t="shared" si="558"/>
        <v>0</v>
      </c>
      <c r="M347" s="694">
        <f t="shared" si="558"/>
        <v>0</v>
      </c>
      <c r="N347" s="694">
        <f t="shared" si="558"/>
        <v>0</v>
      </c>
      <c r="O347" s="679">
        <f>SUM(C347:N347)</f>
        <v>0</v>
      </c>
      <c r="P347" s="694">
        <f t="shared" ref="P347:AA347" si="559">P333+P339+P345</f>
        <v>0</v>
      </c>
      <c r="Q347" s="694">
        <f t="shared" si="559"/>
        <v>0</v>
      </c>
      <c r="R347" s="694">
        <f t="shared" si="559"/>
        <v>0</v>
      </c>
      <c r="S347" s="694">
        <f t="shared" si="559"/>
        <v>0</v>
      </c>
      <c r="T347" s="694">
        <f t="shared" si="559"/>
        <v>0</v>
      </c>
      <c r="U347" s="694">
        <f t="shared" si="559"/>
        <v>0</v>
      </c>
      <c r="V347" s="694">
        <f t="shared" si="559"/>
        <v>0</v>
      </c>
      <c r="W347" s="694">
        <f t="shared" si="559"/>
        <v>0</v>
      </c>
      <c r="X347" s="694">
        <f t="shared" si="559"/>
        <v>0</v>
      </c>
      <c r="Y347" s="694">
        <f t="shared" si="559"/>
        <v>0</v>
      </c>
      <c r="Z347" s="694">
        <f t="shared" si="559"/>
        <v>0</v>
      </c>
      <c r="AA347" s="694">
        <f t="shared" si="559"/>
        <v>0</v>
      </c>
      <c r="AB347" s="694">
        <f>SUM(P347:AA347)</f>
        <v>0</v>
      </c>
      <c r="AC347" s="694">
        <f t="shared" ref="AC347:AJ347" si="560">AC333+AC339+AC345</f>
        <v>0</v>
      </c>
      <c r="AD347" s="694">
        <f t="shared" si="560"/>
        <v>240.78600000000009</v>
      </c>
      <c r="AE347" s="694">
        <f t="shared" si="560"/>
        <v>744.0287400000002</v>
      </c>
      <c r="AF347" s="694">
        <f t="shared" si="560"/>
        <v>1517.8186296000006</v>
      </c>
      <c r="AG347" s="694">
        <f t="shared" si="560"/>
        <v>3065.9936317920015</v>
      </c>
      <c r="AH347" s="694">
        <f t="shared" si="560"/>
        <v>4598.990447688001</v>
      </c>
      <c r="AI347" s="694">
        <f t="shared" si="560"/>
        <v>5535.8218351800015</v>
      </c>
      <c r="AJ347" s="694">
        <f t="shared" si="560"/>
        <v>6387.4867328999999</v>
      </c>
    </row>
    <row r="348" spans="1:37" s="674" customFormat="1" ht="13.15" customHeight="1" x14ac:dyDescent="0.2">
      <c r="A348" s="680"/>
      <c r="B348" s="681"/>
      <c r="C348" s="682"/>
      <c r="D348" s="682"/>
      <c r="E348" s="682"/>
      <c r="F348" s="682"/>
      <c r="G348" s="682"/>
      <c r="H348" s="682"/>
      <c r="I348" s="682"/>
      <c r="J348" s="682"/>
      <c r="K348" s="682"/>
      <c r="L348" s="682"/>
      <c r="M348" s="682"/>
      <c r="N348" s="682"/>
      <c r="O348" s="683"/>
      <c r="P348" s="682"/>
      <c r="Q348" s="682"/>
      <c r="R348" s="682"/>
      <c r="S348" s="682"/>
      <c r="T348" s="682"/>
      <c r="U348" s="682"/>
      <c r="V348" s="682"/>
      <c r="W348" s="682"/>
      <c r="X348" s="682"/>
      <c r="Y348" s="682"/>
      <c r="Z348" s="682"/>
      <c r="AA348" s="682"/>
      <c r="AB348" s="683"/>
      <c r="AC348" s="683"/>
      <c r="AD348" s="683"/>
      <c r="AE348" s="683"/>
    </row>
    <row r="349" spans="1:37" s="674" customFormat="1" ht="13.15" customHeight="1" x14ac:dyDescent="0.2">
      <c r="A349" s="680" t="s">
        <v>258</v>
      </c>
      <c r="B349" s="681"/>
      <c r="C349" s="767">
        <f>C$25</f>
        <v>300</v>
      </c>
      <c r="D349" s="767">
        <f t="shared" ref="D349:AJ349" si="561">D$25</f>
        <v>300</v>
      </c>
      <c r="E349" s="767">
        <f t="shared" si="561"/>
        <v>300</v>
      </c>
      <c r="F349" s="767">
        <f t="shared" si="561"/>
        <v>300</v>
      </c>
      <c r="G349" s="767">
        <f t="shared" si="561"/>
        <v>300</v>
      </c>
      <c r="H349" s="767">
        <f t="shared" si="561"/>
        <v>300</v>
      </c>
      <c r="I349" s="767">
        <f t="shared" si="561"/>
        <v>300</v>
      </c>
      <c r="J349" s="767">
        <f t="shared" si="561"/>
        <v>300</v>
      </c>
      <c r="K349" s="767">
        <f t="shared" si="561"/>
        <v>300</v>
      </c>
      <c r="L349" s="767">
        <f t="shared" si="561"/>
        <v>300</v>
      </c>
      <c r="M349" s="767">
        <f t="shared" si="561"/>
        <v>300</v>
      </c>
      <c r="N349" s="767">
        <f t="shared" si="561"/>
        <v>300</v>
      </c>
      <c r="O349" s="767">
        <f t="shared" si="561"/>
        <v>300</v>
      </c>
      <c r="P349" s="767">
        <f t="shared" si="561"/>
        <v>300</v>
      </c>
      <c r="Q349" s="767">
        <f t="shared" si="561"/>
        <v>300</v>
      </c>
      <c r="R349" s="767">
        <f t="shared" si="561"/>
        <v>300</v>
      </c>
      <c r="S349" s="767">
        <f t="shared" si="561"/>
        <v>300</v>
      </c>
      <c r="T349" s="767">
        <f t="shared" si="561"/>
        <v>300</v>
      </c>
      <c r="U349" s="767">
        <f t="shared" si="561"/>
        <v>300</v>
      </c>
      <c r="V349" s="767">
        <f t="shared" si="561"/>
        <v>300</v>
      </c>
      <c r="W349" s="767">
        <f t="shared" si="561"/>
        <v>300</v>
      </c>
      <c r="X349" s="767">
        <f t="shared" si="561"/>
        <v>300</v>
      </c>
      <c r="Y349" s="767">
        <f t="shared" si="561"/>
        <v>300</v>
      </c>
      <c r="Z349" s="767">
        <f t="shared" si="561"/>
        <v>300</v>
      </c>
      <c r="AA349" s="767">
        <f t="shared" si="561"/>
        <v>300</v>
      </c>
      <c r="AB349" s="767">
        <f t="shared" si="561"/>
        <v>300</v>
      </c>
      <c r="AC349" s="767">
        <f t="shared" si="561"/>
        <v>300</v>
      </c>
      <c r="AD349" s="767">
        <f t="shared" si="561"/>
        <v>300</v>
      </c>
      <c r="AE349" s="767">
        <f t="shared" si="561"/>
        <v>300</v>
      </c>
      <c r="AF349" s="767">
        <f t="shared" si="561"/>
        <v>300</v>
      </c>
      <c r="AG349" s="767">
        <f t="shared" si="561"/>
        <v>300</v>
      </c>
      <c r="AH349" s="767">
        <f t="shared" si="561"/>
        <v>300</v>
      </c>
      <c r="AI349" s="767">
        <f t="shared" si="561"/>
        <v>300</v>
      </c>
      <c r="AJ349" s="767">
        <f t="shared" si="561"/>
        <v>300</v>
      </c>
      <c r="AK349" s="693"/>
    </row>
    <row r="350" spans="1:37" s="674" customFormat="1" ht="13.15" customHeight="1" x14ac:dyDescent="0.2">
      <c r="A350" s="680"/>
      <c r="B350" s="681"/>
      <c r="C350" s="682"/>
      <c r="D350" s="682"/>
      <c r="E350" s="682"/>
      <c r="F350" s="682"/>
      <c r="G350" s="682"/>
      <c r="H350" s="682"/>
      <c r="I350" s="682"/>
      <c r="J350" s="682"/>
      <c r="K350" s="682"/>
      <c r="L350" s="682"/>
      <c r="M350" s="682"/>
      <c r="N350" s="682"/>
      <c r="O350" s="683"/>
      <c r="P350" s="682"/>
      <c r="Q350" s="682"/>
      <c r="R350" s="682"/>
      <c r="S350" s="682"/>
      <c r="T350" s="682"/>
      <c r="U350" s="682"/>
      <c r="V350" s="682"/>
      <c r="W350" s="682"/>
      <c r="X350" s="682"/>
      <c r="Y350" s="682"/>
      <c r="Z350" s="682"/>
      <c r="AA350" s="682"/>
      <c r="AB350" s="683"/>
      <c r="AC350" s="683"/>
      <c r="AD350" s="683"/>
      <c r="AE350" s="683"/>
    </row>
    <row r="351" spans="1:37" s="766" customFormat="1" ht="13.15" customHeight="1" x14ac:dyDescent="0.2">
      <c r="A351" s="763" t="s">
        <v>426</v>
      </c>
      <c r="B351" s="764"/>
      <c r="C351" s="765">
        <f>C347*C349</f>
        <v>0</v>
      </c>
      <c r="D351" s="765">
        <f t="shared" ref="D351:N351" si="562">D347*D349</f>
        <v>0</v>
      </c>
      <c r="E351" s="765">
        <f t="shared" si="562"/>
        <v>0</v>
      </c>
      <c r="F351" s="765">
        <f t="shared" si="562"/>
        <v>0</v>
      </c>
      <c r="G351" s="765">
        <f t="shared" si="562"/>
        <v>0</v>
      </c>
      <c r="H351" s="765">
        <f t="shared" si="562"/>
        <v>0</v>
      </c>
      <c r="I351" s="765">
        <f t="shared" si="562"/>
        <v>0</v>
      </c>
      <c r="J351" s="765">
        <f t="shared" si="562"/>
        <v>0</v>
      </c>
      <c r="K351" s="765">
        <f t="shared" si="562"/>
        <v>0</v>
      </c>
      <c r="L351" s="765">
        <f t="shared" si="562"/>
        <v>0</v>
      </c>
      <c r="M351" s="765">
        <f t="shared" si="562"/>
        <v>0</v>
      </c>
      <c r="N351" s="765">
        <f t="shared" si="562"/>
        <v>0</v>
      </c>
      <c r="O351" s="765">
        <f>SUM(C351:N351)</f>
        <v>0</v>
      </c>
      <c r="P351" s="765">
        <f>P347*P349</f>
        <v>0</v>
      </c>
      <c r="Q351" s="765">
        <f t="shared" ref="Q351:AA351" si="563">Q347*Q349</f>
        <v>0</v>
      </c>
      <c r="R351" s="765">
        <f t="shared" si="563"/>
        <v>0</v>
      </c>
      <c r="S351" s="765">
        <f t="shared" si="563"/>
        <v>0</v>
      </c>
      <c r="T351" s="765">
        <f t="shared" si="563"/>
        <v>0</v>
      </c>
      <c r="U351" s="765">
        <f t="shared" si="563"/>
        <v>0</v>
      </c>
      <c r="V351" s="765">
        <f t="shared" si="563"/>
        <v>0</v>
      </c>
      <c r="W351" s="765">
        <f t="shared" si="563"/>
        <v>0</v>
      </c>
      <c r="X351" s="765">
        <f t="shared" si="563"/>
        <v>0</v>
      </c>
      <c r="Y351" s="765">
        <f t="shared" si="563"/>
        <v>0</v>
      </c>
      <c r="Z351" s="765">
        <f t="shared" si="563"/>
        <v>0</v>
      </c>
      <c r="AA351" s="765">
        <f t="shared" si="563"/>
        <v>0</v>
      </c>
      <c r="AB351" s="765">
        <f>SUM(P351:AA351)</f>
        <v>0</v>
      </c>
      <c r="AC351" s="765">
        <f t="shared" ref="AC351:AJ351" si="564">AC347*AC349</f>
        <v>0</v>
      </c>
      <c r="AD351" s="765">
        <f t="shared" si="564"/>
        <v>72235.800000000032</v>
      </c>
      <c r="AE351" s="765">
        <f t="shared" si="564"/>
        <v>223208.62200000006</v>
      </c>
      <c r="AF351" s="765">
        <f t="shared" si="564"/>
        <v>455345.58888000017</v>
      </c>
      <c r="AG351" s="765">
        <f t="shared" si="564"/>
        <v>919798.0895376004</v>
      </c>
      <c r="AH351" s="765">
        <f t="shared" si="564"/>
        <v>1379697.1343064003</v>
      </c>
      <c r="AI351" s="765">
        <f t="shared" si="564"/>
        <v>1660746.5505540005</v>
      </c>
      <c r="AJ351" s="765">
        <f t="shared" si="564"/>
        <v>1916246.01987</v>
      </c>
    </row>
    <row r="352" spans="1:37" s="674" customFormat="1" ht="13.15" customHeight="1" x14ac:dyDescent="0.2">
      <c r="A352" s="680"/>
      <c r="B352" s="681"/>
      <c r="C352" s="682"/>
      <c r="D352" s="682"/>
      <c r="E352" s="682"/>
      <c r="F352" s="682"/>
      <c r="G352" s="682"/>
      <c r="H352" s="682"/>
      <c r="I352" s="682"/>
      <c r="J352" s="682"/>
      <c r="K352" s="682"/>
      <c r="L352" s="682"/>
      <c r="M352" s="682"/>
      <c r="N352" s="682"/>
      <c r="O352" s="683"/>
      <c r="P352" s="682"/>
      <c r="Q352" s="682"/>
      <c r="R352" s="682"/>
      <c r="S352" s="682"/>
      <c r="T352" s="682"/>
      <c r="U352" s="682"/>
      <c r="V352" s="682"/>
      <c r="W352" s="682"/>
      <c r="X352" s="682"/>
      <c r="Y352" s="682"/>
      <c r="Z352" s="682"/>
      <c r="AA352" s="682"/>
      <c r="AB352" s="683"/>
      <c r="AC352" s="683"/>
      <c r="AD352" s="683"/>
      <c r="AE352" s="683"/>
    </row>
    <row r="353" spans="1:36" s="674" customFormat="1" ht="13.15" customHeight="1" x14ac:dyDescent="0.2">
      <c r="A353" s="680"/>
      <c r="B353" s="681"/>
      <c r="C353" s="682"/>
      <c r="D353" s="682"/>
      <c r="E353" s="682"/>
      <c r="F353" s="682"/>
      <c r="G353" s="682"/>
      <c r="H353" s="682"/>
      <c r="I353" s="682"/>
      <c r="J353" s="682"/>
      <c r="K353" s="682"/>
      <c r="L353" s="682"/>
      <c r="M353" s="682"/>
      <c r="N353" s="682"/>
      <c r="O353" s="683"/>
      <c r="P353" s="682"/>
      <c r="Q353" s="682"/>
      <c r="R353" s="682"/>
      <c r="S353" s="682"/>
      <c r="T353" s="682"/>
      <c r="U353" s="682"/>
      <c r="V353" s="682"/>
      <c r="W353" s="682"/>
      <c r="X353" s="682"/>
      <c r="Y353" s="682"/>
      <c r="Z353" s="682"/>
      <c r="AA353" s="682"/>
      <c r="AB353" s="683"/>
      <c r="AC353" s="683"/>
      <c r="AD353" s="683"/>
      <c r="AE353" s="683"/>
    </row>
    <row r="354" spans="1:36" s="674" customFormat="1" ht="13.15" customHeight="1" x14ac:dyDescent="0.2">
      <c r="A354" s="676" t="s">
        <v>453</v>
      </c>
      <c r="B354" s="677"/>
      <c r="C354" s="678"/>
      <c r="D354" s="678"/>
      <c r="E354" s="678"/>
      <c r="F354" s="678"/>
      <c r="G354" s="678"/>
      <c r="H354" s="678"/>
      <c r="I354" s="678"/>
      <c r="J354" s="678"/>
      <c r="K354" s="678"/>
      <c r="L354" s="678"/>
      <c r="M354" s="678"/>
      <c r="N354" s="678"/>
      <c r="O354" s="679"/>
      <c r="P354" s="678"/>
      <c r="Q354" s="678"/>
      <c r="R354" s="678"/>
      <c r="S354" s="678"/>
      <c r="T354" s="678"/>
      <c r="U354" s="678"/>
      <c r="V354" s="678"/>
      <c r="W354" s="678"/>
      <c r="X354" s="678"/>
      <c r="Y354" s="678"/>
      <c r="Z354" s="678"/>
      <c r="AA354" s="678"/>
      <c r="AB354" s="679"/>
      <c r="AC354" s="679"/>
      <c r="AD354" s="679"/>
      <c r="AE354" s="679"/>
    </row>
    <row r="355" spans="1:36" s="674" customFormat="1" ht="13.15" customHeight="1" x14ac:dyDescent="0.2">
      <c r="A355" s="674" t="s">
        <v>250</v>
      </c>
      <c r="B355" s="681"/>
      <c r="C355" s="690">
        <f>$O355/12</f>
        <v>833.33333333333337</v>
      </c>
      <c r="D355" s="690">
        <f t="shared" ref="D355:N355" si="565">$O355/12</f>
        <v>833.33333333333337</v>
      </c>
      <c r="E355" s="690">
        <f t="shared" si="565"/>
        <v>833.33333333333337</v>
      </c>
      <c r="F355" s="690">
        <f t="shared" si="565"/>
        <v>833.33333333333337</v>
      </c>
      <c r="G355" s="690">
        <f t="shared" si="565"/>
        <v>833.33333333333337</v>
      </c>
      <c r="H355" s="690">
        <f t="shared" si="565"/>
        <v>833.33333333333337</v>
      </c>
      <c r="I355" s="690">
        <f t="shared" si="565"/>
        <v>833.33333333333337</v>
      </c>
      <c r="J355" s="690">
        <f t="shared" si="565"/>
        <v>833.33333333333337</v>
      </c>
      <c r="K355" s="690">
        <f t="shared" si="565"/>
        <v>833.33333333333337</v>
      </c>
      <c r="L355" s="690">
        <f t="shared" si="565"/>
        <v>833.33333333333337</v>
      </c>
      <c r="M355" s="690">
        <f t="shared" si="565"/>
        <v>833.33333333333337</v>
      </c>
      <c r="N355" s="690">
        <f t="shared" si="565"/>
        <v>833.33333333333337</v>
      </c>
      <c r="O355" s="689">
        <v>10000</v>
      </c>
      <c r="P355" s="690">
        <f>$AB355/12</f>
        <v>875</v>
      </c>
      <c r="Q355" s="690">
        <f t="shared" ref="Q355:AA355" si="566">$AB355/12</f>
        <v>875</v>
      </c>
      <c r="R355" s="690">
        <f t="shared" si="566"/>
        <v>875</v>
      </c>
      <c r="S355" s="690">
        <f t="shared" si="566"/>
        <v>875</v>
      </c>
      <c r="T355" s="690">
        <f t="shared" si="566"/>
        <v>875</v>
      </c>
      <c r="U355" s="690">
        <f t="shared" si="566"/>
        <v>875</v>
      </c>
      <c r="V355" s="690">
        <f t="shared" si="566"/>
        <v>875</v>
      </c>
      <c r="W355" s="690">
        <f t="shared" si="566"/>
        <v>875</v>
      </c>
      <c r="X355" s="690">
        <f t="shared" si="566"/>
        <v>875</v>
      </c>
      <c r="Y355" s="690">
        <f t="shared" si="566"/>
        <v>875</v>
      </c>
      <c r="Z355" s="690">
        <f t="shared" si="566"/>
        <v>875</v>
      </c>
      <c r="AA355" s="690">
        <f t="shared" si="566"/>
        <v>875</v>
      </c>
      <c r="AB355" s="690">
        <f>O355*(1+AB356)</f>
        <v>10500</v>
      </c>
      <c r="AC355" s="690">
        <f t="shared" ref="AC355:AJ355" si="567">AB355*(1+AC356)</f>
        <v>11025</v>
      </c>
      <c r="AD355" s="690">
        <f t="shared" si="567"/>
        <v>11466</v>
      </c>
      <c r="AE355" s="690">
        <f t="shared" si="567"/>
        <v>11809.98</v>
      </c>
      <c r="AF355" s="690">
        <f t="shared" si="567"/>
        <v>12046.179599999999</v>
      </c>
      <c r="AG355" s="690">
        <f t="shared" si="567"/>
        <v>12166.641395999999</v>
      </c>
      <c r="AH355" s="690">
        <f t="shared" si="567"/>
        <v>12166.641395999999</v>
      </c>
      <c r="AI355" s="690">
        <f t="shared" si="567"/>
        <v>12166.641395999999</v>
      </c>
      <c r="AJ355" s="690">
        <f t="shared" si="567"/>
        <v>12166.641395999999</v>
      </c>
    </row>
    <row r="356" spans="1:36" s="688" customFormat="1" ht="13.15" customHeight="1" x14ac:dyDescent="0.2">
      <c r="A356" s="680" t="s">
        <v>324</v>
      </c>
      <c r="B356" s="681"/>
      <c r="C356" s="687"/>
      <c r="D356" s="687"/>
      <c r="E356" s="687"/>
      <c r="F356" s="687"/>
      <c r="G356" s="687"/>
      <c r="H356" s="687"/>
      <c r="I356" s="687"/>
      <c r="J356" s="687"/>
      <c r="K356" s="687"/>
      <c r="L356" s="687"/>
      <c r="M356" s="687"/>
      <c r="N356" s="687"/>
      <c r="O356" s="692"/>
      <c r="P356" s="687"/>
      <c r="Q356" s="687"/>
      <c r="R356" s="687"/>
      <c r="S356" s="687"/>
      <c r="T356" s="687"/>
      <c r="U356" s="687"/>
      <c r="V356" s="687"/>
      <c r="W356" s="687"/>
      <c r="X356" s="687"/>
      <c r="Y356" s="687"/>
      <c r="Z356" s="687"/>
      <c r="AA356" s="687"/>
      <c r="AB356" s="687">
        <v>0.05</v>
      </c>
      <c r="AC356" s="687">
        <v>0.05</v>
      </c>
      <c r="AD356" s="687">
        <f>AC356-1%</f>
        <v>0.04</v>
      </c>
      <c r="AE356" s="687">
        <f>AD356-1%</f>
        <v>0.03</v>
      </c>
      <c r="AF356" s="687">
        <f>AE356-1%</f>
        <v>1.9999999999999997E-2</v>
      </c>
      <c r="AG356" s="687">
        <f>AF356-1%</f>
        <v>9.9999999999999967E-3</v>
      </c>
      <c r="AH356" s="687">
        <f>AG356-1%</f>
        <v>0</v>
      </c>
      <c r="AI356" s="688">
        <f>AH356</f>
        <v>0</v>
      </c>
      <c r="AJ356" s="688">
        <f>AI356</f>
        <v>0</v>
      </c>
    </row>
    <row r="357" spans="1:36" s="688" customFormat="1" ht="13.15" customHeight="1" x14ac:dyDescent="0.2">
      <c r="A357" s="680" t="s">
        <v>248</v>
      </c>
      <c r="B357" s="681"/>
      <c r="C357" s="687">
        <f t="shared" ref="C357:N357" si="568">C330</f>
        <v>0</v>
      </c>
      <c r="D357" s="687">
        <f t="shared" si="568"/>
        <v>0</v>
      </c>
      <c r="E357" s="687">
        <f t="shared" si="568"/>
        <v>0</v>
      </c>
      <c r="F357" s="687">
        <f t="shared" si="568"/>
        <v>0</v>
      </c>
      <c r="G357" s="687">
        <f t="shared" si="568"/>
        <v>0</v>
      </c>
      <c r="H357" s="687">
        <f t="shared" si="568"/>
        <v>0</v>
      </c>
      <c r="I357" s="687">
        <f t="shared" si="568"/>
        <v>0</v>
      </c>
      <c r="J357" s="687">
        <f t="shared" si="568"/>
        <v>0</v>
      </c>
      <c r="K357" s="687">
        <f t="shared" si="568"/>
        <v>0</v>
      </c>
      <c r="L357" s="687">
        <f t="shared" si="568"/>
        <v>0</v>
      </c>
      <c r="M357" s="687">
        <f t="shared" si="568"/>
        <v>0</v>
      </c>
      <c r="N357" s="687">
        <f t="shared" si="568"/>
        <v>0</v>
      </c>
      <c r="O357" s="692">
        <f>N357</f>
        <v>0</v>
      </c>
      <c r="P357" s="687">
        <v>0</v>
      </c>
      <c r="Q357" s="687">
        <f t="shared" ref="Q357:AB357" si="569">P357</f>
        <v>0</v>
      </c>
      <c r="R357" s="687">
        <f t="shared" si="569"/>
        <v>0</v>
      </c>
      <c r="S357" s="687">
        <f t="shared" si="569"/>
        <v>0</v>
      </c>
      <c r="T357" s="687">
        <f t="shared" si="569"/>
        <v>0</v>
      </c>
      <c r="U357" s="687">
        <f t="shared" si="569"/>
        <v>0</v>
      </c>
      <c r="V357" s="687">
        <f t="shared" si="569"/>
        <v>0</v>
      </c>
      <c r="W357" s="687">
        <f t="shared" si="569"/>
        <v>0</v>
      </c>
      <c r="X357" s="687">
        <f t="shared" si="569"/>
        <v>0</v>
      </c>
      <c r="Y357" s="687">
        <f t="shared" si="569"/>
        <v>0</v>
      </c>
      <c r="Z357" s="687">
        <f t="shared" si="569"/>
        <v>0</v>
      </c>
      <c r="AA357" s="687">
        <f t="shared" si="569"/>
        <v>0</v>
      </c>
      <c r="AB357" s="692">
        <f t="shared" si="569"/>
        <v>0</v>
      </c>
      <c r="AC357" s="687">
        <f>AC330</f>
        <v>0</v>
      </c>
      <c r="AD357" s="687">
        <f t="shared" ref="AD357:AJ357" si="570">AD330</f>
        <v>1.2000000000000004E-2</v>
      </c>
      <c r="AE357" s="687">
        <f t="shared" si="570"/>
        <v>2.4000000000000007E-2</v>
      </c>
      <c r="AF357" s="687">
        <f t="shared" si="570"/>
        <v>4.8000000000000015E-2</v>
      </c>
      <c r="AG357" s="687">
        <f t="shared" si="570"/>
        <v>9.600000000000003E-2</v>
      </c>
      <c r="AH357" s="687">
        <f t="shared" si="570"/>
        <v>0.12</v>
      </c>
      <c r="AI357" s="687">
        <f t="shared" si="570"/>
        <v>0.13999999999999999</v>
      </c>
      <c r="AJ357" s="687">
        <f t="shared" si="570"/>
        <v>0.15999999999999998</v>
      </c>
    </row>
    <row r="358" spans="1:36" s="674" customFormat="1" ht="13.15" customHeight="1" x14ac:dyDescent="0.2">
      <c r="A358" s="680" t="s">
        <v>251</v>
      </c>
      <c r="B358" s="681"/>
      <c r="C358" s="690">
        <f t="shared" ref="C358:N358" si="571">C355*C357</f>
        <v>0</v>
      </c>
      <c r="D358" s="690">
        <f t="shared" si="571"/>
        <v>0</v>
      </c>
      <c r="E358" s="690">
        <f t="shared" si="571"/>
        <v>0</v>
      </c>
      <c r="F358" s="690">
        <f t="shared" si="571"/>
        <v>0</v>
      </c>
      <c r="G358" s="690">
        <f t="shared" si="571"/>
        <v>0</v>
      </c>
      <c r="H358" s="690">
        <f t="shared" si="571"/>
        <v>0</v>
      </c>
      <c r="I358" s="690">
        <f t="shared" si="571"/>
        <v>0</v>
      </c>
      <c r="J358" s="690">
        <f t="shared" si="571"/>
        <v>0</v>
      </c>
      <c r="K358" s="690">
        <f t="shared" si="571"/>
        <v>0</v>
      </c>
      <c r="L358" s="690">
        <f t="shared" si="571"/>
        <v>0</v>
      </c>
      <c r="M358" s="690">
        <f t="shared" si="571"/>
        <v>0</v>
      </c>
      <c r="N358" s="690">
        <f t="shared" si="571"/>
        <v>0</v>
      </c>
      <c r="O358" s="683">
        <f>SUM(C358:N358)</f>
        <v>0</v>
      </c>
      <c r="P358" s="690">
        <f t="shared" ref="P358:AA358" si="572">P355*P357</f>
        <v>0</v>
      </c>
      <c r="Q358" s="690">
        <f t="shared" si="572"/>
        <v>0</v>
      </c>
      <c r="R358" s="690">
        <f t="shared" si="572"/>
        <v>0</v>
      </c>
      <c r="S358" s="690">
        <f t="shared" si="572"/>
        <v>0</v>
      </c>
      <c r="T358" s="690">
        <f t="shared" si="572"/>
        <v>0</v>
      </c>
      <c r="U358" s="690">
        <f t="shared" si="572"/>
        <v>0</v>
      </c>
      <c r="V358" s="690">
        <f t="shared" si="572"/>
        <v>0</v>
      </c>
      <c r="W358" s="690">
        <f t="shared" si="572"/>
        <v>0</v>
      </c>
      <c r="X358" s="690">
        <f t="shared" si="572"/>
        <v>0</v>
      </c>
      <c r="Y358" s="690">
        <f t="shared" si="572"/>
        <v>0</v>
      </c>
      <c r="Z358" s="690">
        <f t="shared" si="572"/>
        <v>0</v>
      </c>
      <c r="AA358" s="690">
        <f t="shared" si="572"/>
        <v>0</v>
      </c>
      <c r="AB358" s="690">
        <f>SUM(P358:AA358)</f>
        <v>0</v>
      </c>
      <c r="AC358" s="690">
        <f>AC355*AVERAGE(AA357,AC357)</f>
        <v>0</v>
      </c>
      <c r="AD358" s="690">
        <f t="shared" ref="AD358:AJ358" si="573">AD355*AVERAGE(AC357,AD357)</f>
        <v>68.796000000000021</v>
      </c>
      <c r="AE358" s="690">
        <f t="shared" si="573"/>
        <v>212.57964000000007</v>
      </c>
      <c r="AF358" s="690">
        <f t="shared" si="573"/>
        <v>433.66246560000013</v>
      </c>
      <c r="AG358" s="690">
        <f t="shared" si="573"/>
        <v>875.9981805120002</v>
      </c>
      <c r="AH358" s="690">
        <f t="shared" si="573"/>
        <v>1313.9972707680001</v>
      </c>
      <c r="AI358" s="690">
        <f t="shared" si="573"/>
        <v>1581.66338148</v>
      </c>
      <c r="AJ358" s="690">
        <f t="shared" si="573"/>
        <v>1824.9962093999995</v>
      </c>
    </row>
    <row r="359" spans="1:36" s="674" customFormat="1" ht="13.15" customHeight="1" x14ac:dyDescent="0.2">
      <c r="A359" s="680" t="s">
        <v>249</v>
      </c>
      <c r="B359" s="681"/>
      <c r="C359" s="686">
        <v>2.5</v>
      </c>
      <c r="D359" s="686">
        <f t="shared" ref="D359:O359" si="574">C359</f>
        <v>2.5</v>
      </c>
      <c r="E359" s="686">
        <f t="shared" si="574"/>
        <v>2.5</v>
      </c>
      <c r="F359" s="686">
        <f t="shared" si="574"/>
        <v>2.5</v>
      </c>
      <c r="G359" s="686">
        <f t="shared" si="574"/>
        <v>2.5</v>
      </c>
      <c r="H359" s="686">
        <f t="shared" si="574"/>
        <v>2.5</v>
      </c>
      <c r="I359" s="686">
        <f t="shared" si="574"/>
        <v>2.5</v>
      </c>
      <c r="J359" s="686">
        <f t="shared" si="574"/>
        <v>2.5</v>
      </c>
      <c r="K359" s="686">
        <f t="shared" si="574"/>
        <v>2.5</v>
      </c>
      <c r="L359" s="686">
        <f t="shared" si="574"/>
        <v>2.5</v>
      </c>
      <c r="M359" s="686">
        <f t="shared" si="574"/>
        <v>2.5</v>
      </c>
      <c r="N359" s="686">
        <f t="shared" si="574"/>
        <v>2.5</v>
      </c>
      <c r="O359" s="685">
        <f t="shared" si="574"/>
        <v>2.5</v>
      </c>
      <c r="P359" s="686">
        <f>N359</f>
        <v>2.5</v>
      </c>
      <c r="Q359" s="686">
        <f t="shared" ref="Q359:AB359" si="575">P359</f>
        <v>2.5</v>
      </c>
      <c r="R359" s="686">
        <f t="shared" si="575"/>
        <v>2.5</v>
      </c>
      <c r="S359" s="686">
        <f t="shared" si="575"/>
        <v>2.5</v>
      </c>
      <c r="T359" s="686">
        <f t="shared" si="575"/>
        <v>2.5</v>
      </c>
      <c r="U359" s="686">
        <f t="shared" si="575"/>
        <v>2.5</v>
      </c>
      <c r="V359" s="686">
        <f t="shared" si="575"/>
        <v>2.5</v>
      </c>
      <c r="W359" s="686">
        <f t="shared" si="575"/>
        <v>2.5</v>
      </c>
      <c r="X359" s="686">
        <f t="shared" si="575"/>
        <v>2.5</v>
      </c>
      <c r="Y359" s="686">
        <f t="shared" si="575"/>
        <v>2.5</v>
      </c>
      <c r="Z359" s="686">
        <f t="shared" si="575"/>
        <v>2.5</v>
      </c>
      <c r="AA359" s="686">
        <f t="shared" si="575"/>
        <v>2.5</v>
      </c>
      <c r="AB359" s="686">
        <f t="shared" si="575"/>
        <v>2.5</v>
      </c>
      <c r="AC359" s="686">
        <f>AA359</f>
        <v>2.5</v>
      </c>
      <c r="AD359" s="686">
        <f t="shared" ref="AD359:AJ359" si="576">AC359</f>
        <v>2.5</v>
      </c>
      <c r="AE359" s="686">
        <f t="shared" si="576"/>
        <v>2.5</v>
      </c>
      <c r="AF359" s="686">
        <f t="shared" si="576"/>
        <v>2.5</v>
      </c>
      <c r="AG359" s="686">
        <f t="shared" si="576"/>
        <v>2.5</v>
      </c>
      <c r="AH359" s="686">
        <f t="shared" si="576"/>
        <v>2.5</v>
      </c>
      <c r="AI359" s="686">
        <f t="shared" si="576"/>
        <v>2.5</v>
      </c>
      <c r="AJ359" s="686">
        <f t="shared" si="576"/>
        <v>2.5</v>
      </c>
    </row>
    <row r="360" spans="1:36" s="674" customFormat="1" ht="13.15" customHeight="1" x14ac:dyDescent="0.2">
      <c r="A360" s="680" t="s">
        <v>255</v>
      </c>
      <c r="B360" s="681"/>
      <c r="C360" s="690">
        <f t="shared" ref="C360:N360" si="577">C358*C359</f>
        <v>0</v>
      </c>
      <c r="D360" s="690">
        <f t="shared" si="577"/>
        <v>0</v>
      </c>
      <c r="E360" s="690">
        <f t="shared" si="577"/>
        <v>0</v>
      </c>
      <c r="F360" s="690">
        <f t="shared" si="577"/>
        <v>0</v>
      </c>
      <c r="G360" s="690">
        <f t="shared" si="577"/>
        <v>0</v>
      </c>
      <c r="H360" s="690">
        <f t="shared" si="577"/>
        <v>0</v>
      </c>
      <c r="I360" s="690">
        <f t="shared" si="577"/>
        <v>0</v>
      </c>
      <c r="J360" s="690">
        <f t="shared" si="577"/>
        <v>0</v>
      </c>
      <c r="K360" s="690">
        <f t="shared" si="577"/>
        <v>0</v>
      </c>
      <c r="L360" s="690">
        <f t="shared" si="577"/>
        <v>0</v>
      </c>
      <c r="M360" s="690">
        <f t="shared" si="577"/>
        <v>0</v>
      </c>
      <c r="N360" s="690">
        <f t="shared" si="577"/>
        <v>0</v>
      </c>
      <c r="O360" s="691">
        <f>SUM(C360:N360)</f>
        <v>0</v>
      </c>
      <c r="P360" s="690">
        <f t="shared" ref="P360:AA360" si="578">P358*P359</f>
        <v>0</v>
      </c>
      <c r="Q360" s="690">
        <f t="shared" si="578"/>
        <v>0</v>
      </c>
      <c r="R360" s="690">
        <f t="shared" si="578"/>
        <v>0</v>
      </c>
      <c r="S360" s="690">
        <f t="shared" si="578"/>
        <v>0</v>
      </c>
      <c r="T360" s="690">
        <f t="shared" si="578"/>
        <v>0</v>
      </c>
      <c r="U360" s="690">
        <f t="shared" si="578"/>
        <v>0</v>
      </c>
      <c r="V360" s="690">
        <f t="shared" si="578"/>
        <v>0</v>
      </c>
      <c r="W360" s="690">
        <f t="shared" si="578"/>
        <v>0</v>
      </c>
      <c r="X360" s="690">
        <f t="shared" si="578"/>
        <v>0</v>
      </c>
      <c r="Y360" s="690">
        <f t="shared" si="578"/>
        <v>0</v>
      </c>
      <c r="Z360" s="690">
        <f t="shared" si="578"/>
        <v>0</v>
      </c>
      <c r="AA360" s="690">
        <f t="shared" si="578"/>
        <v>0</v>
      </c>
      <c r="AB360" s="691">
        <f>SUM(P360:AA360)</f>
        <v>0</v>
      </c>
      <c r="AC360" s="690">
        <f t="shared" ref="AC360:AJ360" si="579">AC358*AC359</f>
        <v>0</v>
      </c>
      <c r="AD360" s="690">
        <f t="shared" si="579"/>
        <v>171.99000000000007</v>
      </c>
      <c r="AE360" s="690">
        <f t="shared" si="579"/>
        <v>531.44910000000016</v>
      </c>
      <c r="AF360" s="690">
        <f t="shared" si="579"/>
        <v>1084.1561640000004</v>
      </c>
      <c r="AG360" s="690">
        <f t="shared" si="579"/>
        <v>2189.9954512800005</v>
      </c>
      <c r="AH360" s="690">
        <f t="shared" si="579"/>
        <v>3284.9931769200002</v>
      </c>
      <c r="AI360" s="690">
        <f t="shared" si="579"/>
        <v>3954.1584536999999</v>
      </c>
      <c r="AJ360" s="690">
        <f t="shared" si="579"/>
        <v>4562.4905234999987</v>
      </c>
    </row>
    <row r="362" spans="1:36" s="674" customFormat="1" ht="13.15" customHeight="1" x14ac:dyDescent="0.2">
      <c r="A362" s="680" t="s">
        <v>253</v>
      </c>
      <c r="B362" s="681"/>
      <c r="C362" s="689">
        <v>0</v>
      </c>
      <c r="D362" s="689">
        <v>0</v>
      </c>
      <c r="E362" s="689">
        <v>0</v>
      </c>
      <c r="F362" s="689">
        <v>0</v>
      </c>
      <c r="G362" s="689">
        <v>0</v>
      </c>
      <c r="H362" s="689">
        <v>0</v>
      </c>
      <c r="I362" s="689">
        <v>0</v>
      </c>
      <c r="J362" s="689">
        <v>0</v>
      </c>
      <c r="K362" s="689">
        <v>0</v>
      </c>
      <c r="L362" s="689">
        <v>0</v>
      </c>
      <c r="M362" s="689">
        <v>0</v>
      </c>
      <c r="N362" s="689">
        <v>0</v>
      </c>
      <c r="O362" s="690">
        <f>N362</f>
        <v>0</v>
      </c>
      <c r="P362" s="689">
        <f>N362</f>
        <v>0</v>
      </c>
      <c r="Q362" s="689">
        <f t="shared" ref="Q362:AB362" si="580">P362</f>
        <v>0</v>
      </c>
      <c r="R362" s="689">
        <f t="shared" si="580"/>
        <v>0</v>
      </c>
      <c r="S362" s="689">
        <f t="shared" si="580"/>
        <v>0</v>
      </c>
      <c r="T362" s="689">
        <f t="shared" si="580"/>
        <v>0</v>
      </c>
      <c r="U362" s="689">
        <f t="shared" si="580"/>
        <v>0</v>
      </c>
      <c r="V362" s="689">
        <f t="shared" si="580"/>
        <v>0</v>
      </c>
      <c r="W362" s="689">
        <f t="shared" si="580"/>
        <v>0</v>
      </c>
      <c r="X362" s="689">
        <f t="shared" si="580"/>
        <v>0</v>
      </c>
      <c r="Y362" s="689">
        <f t="shared" si="580"/>
        <v>0</v>
      </c>
      <c r="Z362" s="689">
        <f t="shared" si="580"/>
        <v>0</v>
      </c>
      <c r="AA362" s="689">
        <f t="shared" si="580"/>
        <v>0</v>
      </c>
      <c r="AB362" s="690">
        <f t="shared" si="580"/>
        <v>0</v>
      </c>
      <c r="AC362" s="689">
        <f>AA362</f>
        <v>0</v>
      </c>
      <c r="AD362" s="689">
        <f t="shared" ref="AD362:AJ362" si="581">AC362</f>
        <v>0</v>
      </c>
      <c r="AE362" s="689">
        <f t="shared" si="581"/>
        <v>0</v>
      </c>
      <c r="AF362" s="689">
        <f t="shared" si="581"/>
        <v>0</v>
      </c>
      <c r="AG362" s="689">
        <f t="shared" si="581"/>
        <v>0</v>
      </c>
      <c r="AH362" s="689">
        <f t="shared" si="581"/>
        <v>0</v>
      </c>
      <c r="AI362" s="689">
        <f t="shared" si="581"/>
        <v>0</v>
      </c>
      <c r="AJ362" s="689">
        <f t="shared" si="581"/>
        <v>0</v>
      </c>
    </row>
    <row r="363" spans="1:36" s="674" customFormat="1" ht="13.15" customHeight="1" x14ac:dyDescent="0.2">
      <c r="A363" s="680" t="s">
        <v>252</v>
      </c>
      <c r="B363" s="681"/>
      <c r="C363" s="689">
        <f>100/12</f>
        <v>8.3333333333333339</v>
      </c>
      <c r="D363" s="689">
        <f t="shared" ref="D363:N363" si="582">100/12</f>
        <v>8.3333333333333339</v>
      </c>
      <c r="E363" s="689">
        <f t="shared" si="582"/>
        <v>8.3333333333333339</v>
      </c>
      <c r="F363" s="689">
        <f t="shared" si="582"/>
        <v>8.3333333333333339</v>
      </c>
      <c r="G363" s="689">
        <f t="shared" si="582"/>
        <v>8.3333333333333339</v>
      </c>
      <c r="H363" s="689">
        <f t="shared" si="582"/>
        <v>8.3333333333333339</v>
      </c>
      <c r="I363" s="689">
        <f t="shared" si="582"/>
        <v>8.3333333333333339</v>
      </c>
      <c r="J363" s="689">
        <f t="shared" si="582"/>
        <v>8.3333333333333339</v>
      </c>
      <c r="K363" s="689">
        <f t="shared" si="582"/>
        <v>8.3333333333333339</v>
      </c>
      <c r="L363" s="689">
        <f t="shared" si="582"/>
        <v>8.3333333333333339</v>
      </c>
      <c r="M363" s="689">
        <f t="shared" si="582"/>
        <v>8.3333333333333339</v>
      </c>
      <c r="N363" s="689">
        <f t="shared" si="582"/>
        <v>8.3333333333333339</v>
      </c>
      <c r="O363" s="683">
        <f>SUM(C363:N363)</f>
        <v>99.999999999999986</v>
      </c>
      <c r="P363" s="689">
        <f t="shared" ref="P363:AA363" si="583">100/12</f>
        <v>8.3333333333333339</v>
      </c>
      <c r="Q363" s="689">
        <f t="shared" si="583"/>
        <v>8.3333333333333339</v>
      </c>
      <c r="R363" s="689">
        <f t="shared" si="583"/>
        <v>8.3333333333333339</v>
      </c>
      <c r="S363" s="689">
        <f t="shared" si="583"/>
        <v>8.3333333333333339</v>
      </c>
      <c r="T363" s="689">
        <f t="shared" si="583"/>
        <v>8.3333333333333339</v>
      </c>
      <c r="U363" s="689">
        <f t="shared" si="583"/>
        <v>8.3333333333333339</v>
      </c>
      <c r="V363" s="689">
        <f t="shared" si="583"/>
        <v>8.3333333333333339</v>
      </c>
      <c r="W363" s="689">
        <f t="shared" si="583"/>
        <v>8.3333333333333339</v>
      </c>
      <c r="X363" s="689">
        <f t="shared" si="583"/>
        <v>8.3333333333333339</v>
      </c>
      <c r="Y363" s="689">
        <f t="shared" si="583"/>
        <v>8.3333333333333339</v>
      </c>
      <c r="Z363" s="689">
        <f t="shared" si="583"/>
        <v>8.3333333333333339</v>
      </c>
      <c r="AA363" s="689">
        <f t="shared" si="583"/>
        <v>8.3333333333333339</v>
      </c>
      <c r="AB363" s="683">
        <f>SUM(P363:AA363)</f>
        <v>99.999999999999986</v>
      </c>
      <c r="AC363" s="689">
        <v>100</v>
      </c>
      <c r="AD363" s="689">
        <v>100</v>
      </c>
      <c r="AE363" s="689">
        <v>100</v>
      </c>
      <c r="AF363" s="689">
        <v>100</v>
      </c>
      <c r="AG363" s="689">
        <v>100</v>
      </c>
      <c r="AH363" s="689">
        <v>100</v>
      </c>
      <c r="AI363" s="689">
        <v>100</v>
      </c>
      <c r="AJ363" s="689">
        <v>100</v>
      </c>
    </row>
    <row r="364" spans="1:36" s="674" customFormat="1" ht="13.15" customHeight="1" x14ac:dyDescent="0.2">
      <c r="A364" s="680" t="s">
        <v>254</v>
      </c>
      <c r="B364" s="681"/>
      <c r="C364" s="690">
        <f t="shared" ref="C364:N364" si="584">C362*C363</f>
        <v>0</v>
      </c>
      <c r="D364" s="690">
        <f t="shared" si="584"/>
        <v>0</v>
      </c>
      <c r="E364" s="690">
        <f t="shared" si="584"/>
        <v>0</v>
      </c>
      <c r="F364" s="690">
        <f t="shared" si="584"/>
        <v>0</v>
      </c>
      <c r="G364" s="690">
        <f t="shared" si="584"/>
        <v>0</v>
      </c>
      <c r="H364" s="690">
        <f t="shared" si="584"/>
        <v>0</v>
      </c>
      <c r="I364" s="690">
        <f t="shared" si="584"/>
        <v>0</v>
      </c>
      <c r="J364" s="690">
        <f t="shared" si="584"/>
        <v>0</v>
      </c>
      <c r="K364" s="690">
        <f t="shared" si="584"/>
        <v>0</v>
      </c>
      <c r="L364" s="690">
        <f t="shared" si="584"/>
        <v>0</v>
      </c>
      <c r="M364" s="690">
        <f t="shared" si="584"/>
        <v>0</v>
      </c>
      <c r="N364" s="690">
        <f t="shared" si="584"/>
        <v>0</v>
      </c>
      <c r="O364" s="683">
        <f>SUM(C364:N364)</f>
        <v>0</v>
      </c>
      <c r="P364" s="690">
        <f t="shared" ref="P364:AA364" si="585">P362*P363</f>
        <v>0</v>
      </c>
      <c r="Q364" s="690">
        <f t="shared" si="585"/>
        <v>0</v>
      </c>
      <c r="R364" s="690">
        <f t="shared" si="585"/>
        <v>0</v>
      </c>
      <c r="S364" s="690">
        <f t="shared" si="585"/>
        <v>0</v>
      </c>
      <c r="T364" s="690">
        <f t="shared" si="585"/>
        <v>0</v>
      </c>
      <c r="U364" s="690">
        <f t="shared" si="585"/>
        <v>0</v>
      </c>
      <c r="V364" s="690">
        <f t="shared" si="585"/>
        <v>0</v>
      </c>
      <c r="W364" s="690">
        <f t="shared" si="585"/>
        <v>0</v>
      </c>
      <c r="X364" s="690">
        <f t="shared" si="585"/>
        <v>0</v>
      </c>
      <c r="Y364" s="690">
        <f t="shared" si="585"/>
        <v>0</v>
      </c>
      <c r="Z364" s="690">
        <f t="shared" si="585"/>
        <v>0</v>
      </c>
      <c r="AA364" s="690">
        <f t="shared" si="585"/>
        <v>0</v>
      </c>
      <c r="AB364" s="690">
        <f>SUM(P364:AA364)</f>
        <v>0</v>
      </c>
      <c r="AC364" s="690">
        <f t="shared" ref="AC364:AJ364" si="586">AC362*AC363</f>
        <v>0</v>
      </c>
      <c r="AD364" s="690">
        <f t="shared" si="586"/>
        <v>0</v>
      </c>
      <c r="AE364" s="690">
        <f t="shared" si="586"/>
        <v>0</v>
      </c>
      <c r="AF364" s="690">
        <f t="shared" si="586"/>
        <v>0</v>
      </c>
      <c r="AG364" s="690">
        <f t="shared" si="586"/>
        <v>0</v>
      </c>
      <c r="AH364" s="690">
        <f t="shared" si="586"/>
        <v>0</v>
      </c>
      <c r="AI364" s="690">
        <f t="shared" si="586"/>
        <v>0</v>
      </c>
      <c r="AJ364" s="690">
        <f t="shared" si="586"/>
        <v>0</v>
      </c>
    </row>
    <row r="365" spans="1:36" s="674" customFormat="1" ht="13.15" customHeight="1" x14ac:dyDescent="0.2">
      <c r="A365" s="680" t="s">
        <v>249</v>
      </c>
      <c r="B365" s="681"/>
      <c r="C365" s="686">
        <f>C359</f>
        <v>2.5</v>
      </c>
      <c r="D365" s="686">
        <f t="shared" ref="D365:AJ365" si="587">D359</f>
        <v>2.5</v>
      </c>
      <c r="E365" s="686">
        <f t="shared" si="587"/>
        <v>2.5</v>
      </c>
      <c r="F365" s="686">
        <f t="shared" si="587"/>
        <v>2.5</v>
      </c>
      <c r="G365" s="686">
        <f t="shared" si="587"/>
        <v>2.5</v>
      </c>
      <c r="H365" s="686">
        <f t="shared" si="587"/>
        <v>2.5</v>
      </c>
      <c r="I365" s="686">
        <f t="shared" si="587"/>
        <v>2.5</v>
      </c>
      <c r="J365" s="686">
        <f t="shared" si="587"/>
        <v>2.5</v>
      </c>
      <c r="K365" s="686">
        <f t="shared" si="587"/>
        <v>2.5</v>
      </c>
      <c r="L365" s="686">
        <f t="shared" si="587"/>
        <v>2.5</v>
      </c>
      <c r="M365" s="686">
        <f t="shared" si="587"/>
        <v>2.5</v>
      </c>
      <c r="N365" s="686">
        <f t="shared" si="587"/>
        <v>2.5</v>
      </c>
      <c r="O365" s="686">
        <f t="shared" si="587"/>
        <v>2.5</v>
      </c>
      <c r="P365" s="686">
        <f t="shared" si="587"/>
        <v>2.5</v>
      </c>
      <c r="Q365" s="686">
        <f t="shared" si="587"/>
        <v>2.5</v>
      </c>
      <c r="R365" s="686">
        <f t="shared" si="587"/>
        <v>2.5</v>
      </c>
      <c r="S365" s="686">
        <f t="shared" si="587"/>
        <v>2.5</v>
      </c>
      <c r="T365" s="686">
        <f t="shared" si="587"/>
        <v>2.5</v>
      </c>
      <c r="U365" s="686">
        <f t="shared" si="587"/>
        <v>2.5</v>
      </c>
      <c r="V365" s="686">
        <f t="shared" si="587"/>
        <v>2.5</v>
      </c>
      <c r="W365" s="686">
        <f t="shared" si="587"/>
        <v>2.5</v>
      </c>
      <c r="X365" s="686">
        <f t="shared" si="587"/>
        <v>2.5</v>
      </c>
      <c r="Y365" s="686">
        <f t="shared" si="587"/>
        <v>2.5</v>
      </c>
      <c r="Z365" s="686">
        <f t="shared" si="587"/>
        <v>2.5</v>
      </c>
      <c r="AA365" s="686">
        <f t="shared" si="587"/>
        <v>2.5</v>
      </c>
      <c r="AB365" s="686">
        <f t="shared" si="587"/>
        <v>2.5</v>
      </c>
      <c r="AC365" s="686">
        <f t="shared" si="587"/>
        <v>2.5</v>
      </c>
      <c r="AD365" s="686">
        <f t="shared" si="587"/>
        <v>2.5</v>
      </c>
      <c r="AE365" s="686">
        <f t="shared" si="587"/>
        <v>2.5</v>
      </c>
      <c r="AF365" s="686">
        <f t="shared" si="587"/>
        <v>2.5</v>
      </c>
      <c r="AG365" s="686">
        <f t="shared" si="587"/>
        <v>2.5</v>
      </c>
      <c r="AH365" s="686">
        <f t="shared" si="587"/>
        <v>2.5</v>
      </c>
      <c r="AI365" s="686">
        <f t="shared" si="587"/>
        <v>2.5</v>
      </c>
      <c r="AJ365" s="686">
        <f t="shared" si="587"/>
        <v>2.5</v>
      </c>
    </row>
    <row r="366" spans="1:36" s="674" customFormat="1" ht="13.15" customHeight="1" x14ac:dyDescent="0.2">
      <c r="A366" s="680" t="s">
        <v>255</v>
      </c>
      <c r="B366" s="681"/>
      <c r="C366" s="690">
        <f t="shared" ref="C366:N366" si="588">C364*C365</f>
        <v>0</v>
      </c>
      <c r="D366" s="690">
        <f t="shared" si="588"/>
        <v>0</v>
      </c>
      <c r="E366" s="690">
        <f t="shared" si="588"/>
        <v>0</v>
      </c>
      <c r="F366" s="690">
        <f t="shared" si="588"/>
        <v>0</v>
      </c>
      <c r="G366" s="690">
        <f t="shared" si="588"/>
        <v>0</v>
      </c>
      <c r="H366" s="690">
        <f t="shared" si="588"/>
        <v>0</v>
      </c>
      <c r="I366" s="690">
        <f t="shared" si="588"/>
        <v>0</v>
      </c>
      <c r="J366" s="690">
        <f t="shared" si="588"/>
        <v>0</v>
      </c>
      <c r="K366" s="690">
        <f t="shared" si="588"/>
        <v>0</v>
      </c>
      <c r="L366" s="690">
        <f t="shared" si="588"/>
        <v>0</v>
      </c>
      <c r="M366" s="690">
        <f t="shared" si="588"/>
        <v>0</v>
      </c>
      <c r="N366" s="690">
        <f t="shared" si="588"/>
        <v>0</v>
      </c>
      <c r="O366" s="691">
        <f>SUM(C366:N366)</f>
        <v>0</v>
      </c>
      <c r="P366" s="690">
        <f t="shared" ref="P366:AA366" si="589">P364*P365</f>
        <v>0</v>
      </c>
      <c r="Q366" s="690">
        <f t="shared" si="589"/>
        <v>0</v>
      </c>
      <c r="R366" s="690">
        <f t="shared" si="589"/>
        <v>0</v>
      </c>
      <c r="S366" s="690">
        <f t="shared" si="589"/>
        <v>0</v>
      </c>
      <c r="T366" s="690">
        <f t="shared" si="589"/>
        <v>0</v>
      </c>
      <c r="U366" s="690">
        <f t="shared" si="589"/>
        <v>0</v>
      </c>
      <c r="V366" s="690">
        <f t="shared" si="589"/>
        <v>0</v>
      </c>
      <c r="W366" s="690">
        <f t="shared" si="589"/>
        <v>0</v>
      </c>
      <c r="X366" s="690">
        <f t="shared" si="589"/>
        <v>0</v>
      </c>
      <c r="Y366" s="690">
        <f t="shared" si="589"/>
        <v>0</v>
      </c>
      <c r="Z366" s="690">
        <f t="shared" si="589"/>
        <v>0</v>
      </c>
      <c r="AA366" s="690">
        <f t="shared" si="589"/>
        <v>0</v>
      </c>
      <c r="AB366" s="691">
        <f>SUM(P366:AA366)</f>
        <v>0</v>
      </c>
      <c r="AC366" s="690">
        <f t="shared" ref="AC366:AJ366" si="590">AC364*AC365</f>
        <v>0</v>
      </c>
      <c r="AD366" s="690">
        <f t="shared" si="590"/>
        <v>0</v>
      </c>
      <c r="AE366" s="690">
        <f t="shared" si="590"/>
        <v>0</v>
      </c>
      <c r="AF366" s="690">
        <f t="shared" si="590"/>
        <v>0</v>
      </c>
      <c r="AG366" s="690">
        <f t="shared" si="590"/>
        <v>0</v>
      </c>
      <c r="AH366" s="690">
        <f t="shared" si="590"/>
        <v>0</v>
      </c>
      <c r="AI366" s="690">
        <f t="shared" si="590"/>
        <v>0</v>
      </c>
      <c r="AJ366" s="690">
        <f t="shared" si="590"/>
        <v>0</v>
      </c>
    </row>
    <row r="367" spans="1:36" s="674" customFormat="1" ht="13.15" customHeight="1" x14ac:dyDescent="0.2">
      <c r="B367" s="681"/>
      <c r="C367" s="682"/>
      <c r="D367" s="682"/>
      <c r="E367" s="682"/>
      <c r="F367" s="682"/>
      <c r="G367" s="682"/>
      <c r="H367" s="682"/>
      <c r="I367" s="682"/>
      <c r="J367" s="682"/>
      <c r="K367" s="682"/>
      <c r="L367" s="682"/>
      <c r="M367" s="682"/>
      <c r="N367" s="682"/>
      <c r="O367" s="683"/>
      <c r="P367" s="682"/>
      <c r="Q367" s="682"/>
      <c r="R367" s="682"/>
      <c r="S367" s="682"/>
      <c r="T367" s="682"/>
      <c r="U367" s="682"/>
      <c r="V367" s="682"/>
      <c r="W367" s="682"/>
      <c r="X367" s="682"/>
      <c r="Y367" s="682"/>
      <c r="Z367" s="682"/>
      <c r="AA367" s="682"/>
      <c r="AB367" s="683"/>
      <c r="AC367" s="683"/>
      <c r="AD367" s="683"/>
      <c r="AE367" s="683"/>
    </row>
    <row r="368" spans="1:36" s="674" customFormat="1" ht="13.15" customHeight="1" x14ac:dyDescent="0.2">
      <c r="A368" s="680" t="s">
        <v>256</v>
      </c>
      <c r="B368" s="681"/>
      <c r="C368" s="689">
        <v>0</v>
      </c>
      <c r="D368" s="689">
        <v>0</v>
      </c>
      <c r="E368" s="689">
        <v>0</v>
      </c>
      <c r="F368" s="689">
        <v>0</v>
      </c>
      <c r="G368" s="689">
        <v>0</v>
      </c>
      <c r="H368" s="689">
        <v>0</v>
      </c>
      <c r="I368" s="689">
        <v>0</v>
      </c>
      <c r="J368" s="689">
        <v>0</v>
      </c>
      <c r="K368" s="689">
        <v>0</v>
      </c>
      <c r="L368" s="689">
        <v>0</v>
      </c>
      <c r="M368" s="689">
        <v>0</v>
      </c>
      <c r="N368" s="689">
        <v>0</v>
      </c>
      <c r="O368" s="690">
        <f>N368</f>
        <v>0</v>
      </c>
      <c r="P368" s="689">
        <f>N368</f>
        <v>0</v>
      </c>
      <c r="Q368" s="689">
        <f t="shared" ref="Q368:AB368" si="591">P368</f>
        <v>0</v>
      </c>
      <c r="R368" s="689">
        <f t="shared" si="591"/>
        <v>0</v>
      </c>
      <c r="S368" s="689">
        <f t="shared" si="591"/>
        <v>0</v>
      </c>
      <c r="T368" s="689">
        <f t="shared" si="591"/>
        <v>0</v>
      </c>
      <c r="U368" s="689">
        <f t="shared" si="591"/>
        <v>0</v>
      </c>
      <c r="V368" s="689">
        <f t="shared" si="591"/>
        <v>0</v>
      </c>
      <c r="W368" s="689">
        <f t="shared" si="591"/>
        <v>0</v>
      </c>
      <c r="X368" s="689">
        <f t="shared" si="591"/>
        <v>0</v>
      </c>
      <c r="Y368" s="689">
        <f t="shared" si="591"/>
        <v>0</v>
      </c>
      <c r="Z368" s="689">
        <f t="shared" si="591"/>
        <v>0</v>
      </c>
      <c r="AA368" s="689">
        <f t="shared" si="591"/>
        <v>0</v>
      </c>
      <c r="AB368" s="690">
        <f t="shared" si="591"/>
        <v>0</v>
      </c>
      <c r="AC368" s="689">
        <f>AA368</f>
        <v>0</v>
      </c>
      <c r="AD368" s="689">
        <f t="shared" ref="AD368:AJ368" si="592">AC368</f>
        <v>0</v>
      </c>
      <c r="AE368" s="689">
        <f t="shared" si="592"/>
        <v>0</v>
      </c>
      <c r="AF368" s="689">
        <f t="shared" si="592"/>
        <v>0</v>
      </c>
      <c r="AG368" s="689">
        <f t="shared" si="592"/>
        <v>0</v>
      </c>
      <c r="AH368" s="689">
        <f t="shared" si="592"/>
        <v>0</v>
      </c>
      <c r="AI368" s="689">
        <f t="shared" si="592"/>
        <v>0</v>
      </c>
      <c r="AJ368" s="689">
        <f t="shared" si="592"/>
        <v>0</v>
      </c>
    </row>
    <row r="369" spans="1:37" s="674" customFormat="1" ht="13.15" customHeight="1" x14ac:dyDescent="0.2">
      <c r="A369" s="680" t="s">
        <v>252</v>
      </c>
      <c r="B369" s="681"/>
      <c r="C369" s="689">
        <f>300/12</f>
        <v>25</v>
      </c>
      <c r="D369" s="689">
        <f t="shared" ref="D369:N369" si="593">300/12</f>
        <v>25</v>
      </c>
      <c r="E369" s="689">
        <f t="shared" si="593"/>
        <v>25</v>
      </c>
      <c r="F369" s="689">
        <f t="shared" si="593"/>
        <v>25</v>
      </c>
      <c r="G369" s="689">
        <f t="shared" si="593"/>
        <v>25</v>
      </c>
      <c r="H369" s="689">
        <f t="shared" si="593"/>
        <v>25</v>
      </c>
      <c r="I369" s="689">
        <f t="shared" si="593"/>
        <v>25</v>
      </c>
      <c r="J369" s="689">
        <f t="shared" si="593"/>
        <v>25</v>
      </c>
      <c r="K369" s="689">
        <f t="shared" si="593"/>
        <v>25</v>
      </c>
      <c r="L369" s="689">
        <f t="shared" si="593"/>
        <v>25</v>
      </c>
      <c r="M369" s="689">
        <f t="shared" si="593"/>
        <v>25</v>
      </c>
      <c r="N369" s="689">
        <f t="shared" si="593"/>
        <v>25</v>
      </c>
      <c r="O369" s="683">
        <f>SUM(C369:N369)</f>
        <v>300</v>
      </c>
      <c r="P369" s="689">
        <f>300/12</f>
        <v>25</v>
      </c>
      <c r="Q369" s="689">
        <f t="shared" ref="Q369:AA369" si="594">300/12</f>
        <v>25</v>
      </c>
      <c r="R369" s="689">
        <f t="shared" si="594"/>
        <v>25</v>
      </c>
      <c r="S369" s="689">
        <f t="shared" si="594"/>
        <v>25</v>
      </c>
      <c r="T369" s="689">
        <f t="shared" si="594"/>
        <v>25</v>
      </c>
      <c r="U369" s="689">
        <f t="shared" si="594"/>
        <v>25</v>
      </c>
      <c r="V369" s="689">
        <f t="shared" si="594"/>
        <v>25</v>
      </c>
      <c r="W369" s="689">
        <f t="shared" si="594"/>
        <v>25</v>
      </c>
      <c r="X369" s="689">
        <f t="shared" si="594"/>
        <v>25</v>
      </c>
      <c r="Y369" s="689">
        <f t="shared" si="594"/>
        <v>25</v>
      </c>
      <c r="Z369" s="689">
        <f t="shared" si="594"/>
        <v>25</v>
      </c>
      <c r="AA369" s="689">
        <f t="shared" si="594"/>
        <v>25</v>
      </c>
      <c r="AB369" s="683">
        <f>SUM(P369:AA369)</f>
        <v>300</v>
      </c>
      <c r="AC369" s="689">
        <v>300</v>
      </c>
      <c r="AD369" s="689">
        <v>300</v>
      </c>
      <c r="AE369" s="689">
        <v>300</v>
      </c>
      <c r="AF369" s="689">
        <v>300</v>
      </c>
      <c r="AG369" s="689">
        <v>300</v>
      </c>
      <c r="AH369" s="689">
        <v>300</v>
      </c>
      <c r="AI369" s="689">
        <v>300</v>
      </c>
      <c r="AJ369" s="689">
        <v>300</v>
      </c>
    </row>
    <row r="370" spans="1:37" s="674" customFormat="1" ht="13.15" customHeight="1" x14ac:dyDescent="0.2">
      <c r="A370" s="680" t="s">
        <v>254</v>
      </c>
      <c r="B370" s="681"/>
      <c r="C370" s="690">
        <f t="shared" ref="C370:N370" si="595">C368*C369</f>
        <v>0</v>
      </c>
      <c r="D370" s="690">
        <f t="shared" si="595"/>
        <v>0</v>
      </c>
      <c r="E370" s="690">
        <f t="shared" si="595"/>
        <v>0</v>
      </c>
      <c r="F370" s="690">
        <f t="shared" si="595"/>
        <v>0</v>
      </c>
      <c r="G370" s="690">
        <f t="shared" si="595"/>
        <v>0</v>
      </c>
      <c r="H370" s="690">
        <f t="shared" si="595"/>
        <v>0</v>
      </c>
      <c r="I370" s="690">
        <f t="shared" si="595"/>
        <v>0</v>
      </c>
      <c r="J370" s="690">
        <f t="shared" si="595"/>
        <v>0</v>
      </c>
      <c r="K370" s="690">
        <f t="shared" si="595"/>
        <v>0</v>
      </c>
      <c r="L370" s="690">
        <f t="shared" si="595"/>
        <v>0</v>
      </c>
      <c r="M370" s="690">
        <f t="shared" si="595"/>
        <v>0</v>
      </c>
      <c r="N370" s="690">
        <f t="shared" si="595"/>
        <v>0</v>
      </c>
      <c r="O370" s="683">
        <f>SUM(C370:N370)</f>
        <v>0</v>
      </c>
      <c r="P370" s="690">
        <f t="shared" ref="P370:AA370" si="596">P368*P369</f>
        <v>0</v>
      </c>
      <c r="Q370" s="690">
        <f t="shared" si="596"/>
        <v>0</v>
      </c>
      <c r="R370" s="690">
        <f t="shared" si="596"/>
        <v>0</v>
      </c>
      <c r="S370" s="690">
        <f t="shared" si="596"/>
        <v>0</v>
      </c>
      <c r="T370" s="690">
        <f t="shared" si="596"/>
        <v>0</v>
      </c>
      <c r="U370" s="690">
        <f t="shared" si="596"/>
        <v>0</v>
      </c>
      <c r="V370" s="690">
        <f t="shared" si="596"/>
        <v>0</v>
      </c>
      <c r="W370" s="690">
        <f t="shared" si="596"/>
        <v>0</v>
      </c>
      <c r="X370" s="690">
        <f t="shared" si="596"/>
        <v>0</v>
      </c>
      <c r="Y370" s="690">
        <f t="shared" si="596"/>
        <v>0</v>
      </c>
      <c r="Z370" s="690">
        <f t="shared" si="596"/>
        <v>0</v>
      </c>
      <c r="AA370" s="690">
        <f t="shared" si="596"/>
        <v>0</v>
      </c>
      <c r="AB370" s="683">
        <f>SUM(P370:AA370)</f>
        <v>0</v>
      </c>
      <c r="AC370" s="690">
        <f t="shared" ref="AC370:AJ370" si="597">AC368*AC369</f>
        <v>0</v>
      </c>
      <c r="AD370" s="690">
        <f t="shared" si="597"/>
        <v>0</v>
      </c>
      <c r="AE370" s="690">
        <f t="shared" si="597"/>
        <v>0</v>
      </c>
      <c r="AF370" s="690">
        <f t="shared" si="597"/>
        <v>0</v>
      </c>
      <c r="AG370" s="690">
        <f t="shared" si="597"/>
        <v>0</v>
      </c>
      <c r="AH370" s="690">
        <f t="shared" si="597"/>
        <v>0</v>
      </c>
      <c r="AI370" s="690">
        <f t="shared" si="597"/>
        <v>0</v>
      </c>
      <c r="AJ370" s="690">
        <f t="shared" si="597"/>
        <v>0</v>
      </c>
    </row>
    <row r="371" spans="1:37" s="674" customFormat="1" ht="13.15" customHeight="1" x14ac:dyDescent="0.2">
      <c r="A371" s="680" t="s">
        <v>249</v>
      </c>
      <c r="B371" s="681"/>
      <c r="C371" s="686">
        <f>C359</f>
        <v>2.5</v>
      </c>
      <c r="D371" s="686">
        <f t="shared" ref="D371:AJ371" si="598">D359</f>
        <v>2.5</v>
      </c>
      <c r="E371" s="686">
        <f t="shared" si="598"/>
        <v>2.5</v>
      </c>
      <c r="F371" s="686">
        <f t="shared" si="598"/>
        <v>2.5</v>
      </c>
      <c r="G371" s="686">
        <f t="shared" si="598"/>
        <v>2.5</v>
      </c>
      <c r="H371" s="686">
        <f t="shared" si="598"/>
        <v>2.5</v>
      </c>
      <c r="I371" s="686">
        <f t="shared" si="598"/>
        <v>2.5</v>
      </c>
      <c r="J371" s="686">
        <f t="shared" si="598"/>
        <v>2.5</v>
      </c>
      <c r="K371" s="686">
        <f t="shared" si="598"/>
        <v>2.5</v>
      </c>
      <c r="L371" s="686">
        <f t="shared" si="598"/>
        <v>2.5</v>
      </c>
      <c r="M371" s="686">
        <f t="shared" si="598"/>
        <v>2.5</v>
      </c>
      <c r="N371" s="686">
        <f t="shared" si="598"/>
        <v>2.5</v>
      </c>
      <c r="O371" s="686">
        <f t="shared" si="598"/>
        <v>2.5</v>
      </c>
      <c r="P371" s="686">
        <f t="shared" si="598"/>
        <v>2.5</v>
      </c>
      <c r="Q371" s="686">
        <f t="shared" si="598"/>
        <v>2.5</v>
      </c>
      <c r="R371" s="686">
        <f t="shared" si="598"/>
        <v>2.5</v>
      </c>
      <c r="S371" s="686">
        <f t="shared" si="598"/>
        <v>2.5</v>
      </c>
      <c r="T371" s="686">
        <f t="shared" si="598"/>
        <v>2.5</v>
      </c>
      <c r="U371" s="686">
        <f t="shared" si="598"/>
        <v>2.5</v>
      </c>
      <c r="V371" s="686">
        <f t="shared" si="598"/>
        <v>2.5</v>
      </c>
      <c r="W371" s="686">
        <f t="shared" si="598"/>
        <v>2.5</v>
      </c>
      <c r="X371" s="686">
        <f t="shared" si="598"/>
        <v>2.5</v>
      </c>
      <c r="Y371" s="686">
        <f t="shared" si="598"/>
        <v>2.5</v>
      </c>
      <c r="Z371" s="686">
        <f t="shared" si="598"/>
        <v>2.5</v>
      </c>
      <c r="AA371" s="686">
        <f t="shared" si="598"/>
        <v>2.5</v>
      </c>
      <c r="AB371" s="686">
        <f t="shared" si="598"/>
        <v>2.5</v>
      </c>
      <c r="AC371" s="686">
        <f t="shared" si="598"/>
        <v>2.5</v>
      </c>
      <c r="AD371" s="686">
        <f t="shared" si="598"/>
        <v>2.5</v>
      </c>
      <c r="AE371" s="686">
        <f t="shared" si="598"/>
        <v>2.5</v>
      </c>
      <c r="AF371" s="686">
        <f t="shared" si="598"/>
        <v>2.5</v>
      </c>
      <c r="AG371" s="686">
        <f t="shared" si="598"/>
        <v>2.5</v>
      </c>
      <c r="AH371" s="686">
        <f t="shared" si="598"/>
        <v>2.5</v>
      </c>
      <c r="AI371" s="686">
        <f t="shared" si="598"/>
        <v>2.5</v>
      </c>
      <c r="AJ371" s="686">
        <f t="shared" si="598"/>
        <v>2.5</v>
      </c>
    </row>
    <row r="372" spans="1:37" s="674" customFormat="1" ht="13.15" customHeight="1" x14ac:dyDescent="0.2">
      <c r="A372" s="680" t="s">
        <v>255</v>
      </c>
      <c r="B372" s="681"/>
      <c r="C372" s="690">
        <f t="shared" ref="C372:N372" si="599">C370*C371</f>
        <v>0</v>
      </c>
      <c r="D372" s="690">
        <f t="shared" si="599"/>
        <v>0</v>
      </c>
      <c r="E372" s="690">
        <f t="shared" si="599"/>
        <v>0</v>
      </c>
      <c r="F372" s="690">
        <f t="shared" si="599"/>
        <v>0</v>
      </c>
      <c r="G372" s="690">
        <f t="shared" si="599"/>
        <v>0</v>
      </c>
      <c r="H372" s="690">
        <f t="shared" si="599"/>
        <v>0</v>
      </c>
      <c r="I372" s="690">
        <f t="shared" si="599"/>
        <v>0</v>
      </c>
      <c r="J372" s="690">
        <f t="shared" si="599"/>
        <v>0</v>
      </c>
      <c r="K372" s="690">
        <f t="shared" si="599"/>
        <v>0</v>
      </c>
      <c r="L372" s="690">
        <f t="shared" si="599"/>
        <v>0</v>
      </c>
      <c r="M372" s="690">
        <f t="shared" si="599"/>
        <v>0</v>
      </c>
      <c r="N372" s="690">
        <f t="shared" si="599"/>
        <v>0</v>
      </c>
      <c r="O372" s="691">
        <f>SUM(C372:N372)</f>
        <v>0</v>
      </c>
      <c r="P372" s="690">
        <f t="shared" ref="P372:AA372" si="600">P370*P371</f>
        <v>0</v>
      </c>
      <c r="Q372" s="690">
        <f t="shared" si="600"/>
        <v>0</v>
      </c>
      <c r="R372" s="690">
        <f t="shared" si="600"/>
        <v>0</v>
      </c>
      <c r="S372" s="690">
        <f t="shared" si="600"/>
        <v>0</v>
      </c>
      <c r="T372" s="690">
        <f t="shared" si="600"/>
        <v>0</v>
      </c>
      <c r="U372" s="690">
        <f t="shared" si="600"/>
        <v>0</v>
      </c>
      <c r="V372" s="690">
        <f t="shared" si="600"/>
        <v>0</v>
      </c>
      <c r="W372" s="690">
        <f t="shared" si="600"/>
        <v>0</v>
      </c>
      <c r="X372" s="690">
        <f t="shared" si="600"/>
        <v>0</v>
      </c>
      <c r="Y372" s="690">
        <f t="shared" si="600"/>
        <v>0</v>
      </c>
      <c r="Z372" s="690">
        <f t="shared" si="600"/>
        <v>0</v>
      </c>
      <c r="AA372" s="690">
        <f t="shared" si="600"/>
        <v>0</v>
      </c>
      <c r="AB372" s="691">
        <f>SUM(P372:AA372)</f>
        <v>0</v>
      </c>
      <c r="AC372" s="690">
        <f t="shared" ref="AC372:AJ372" si="601">AC370*AC371</f>
        <v>0</v>
      </c>
      <c r="AD372" s="690">
        <f t="shared" si="601"/>
        <v>0</v>
      </c>
      <c r="AE372" s="690">
        <f t="shared" si="601"/>
        <v>0</v>
      </c>
      <c r="AF372" s="690">
        <f t="shared" si="601"/>
        <v>0</v>
      </c>
      <c r="AG372" s="690">
        <f t="shared" si="601"/>
        <v>0</v>
      </c>
      <c r="AH372" s="690">
        <f t="shared" si="601"/>
        <v>0</v>
      </c>
      <c r="AI372" s="690">
        <f t="shared" si="601"/>
        <v>0</v>
      </c>
      <c r="AJ372" s="690">
        <f t="shared" si="601"/>
        <v>0</v>
      </c>
    </row>
    <row r="373" spans="1:37" s="674" customFormat="1" ht="13.15" customHeight="1" x14ac:dyDescent="0.2">
      <c r="A373" s="680"/>
      <c r="B373" s="681"/>
      <c r="C373" s="682"/>
      <c r="D373" s="682"/>
      <c r="E373" s="682"/>
      <c r="F373" s="682"/>
      <c r="G373" s="682"/>
      <c r="H373" s="682"/>
      <c r="I373" s="682"/>
      <c r="J373" s="682"/>
      <c r="K373" s="682"/>
      <c r="L373" s="682"/>
      <c r="M373" s="682"/>
      <c r="N373" s="682"/>
      <c r="O373" s="683"/>
      <c r="P373" s="682"/>
      <c r="Q373" s="682"/>
      <c r="R373" s="682"/>
      <c r="S373" s="682"/>
      <c r="T373" s="682"/>
      <c r="U373" s="682"/>
      <c r="V373" s="682"/>
      <c r="W373" s="682"/>
      <c r="X373" s="682"/>
      <c r="Y373" s="682"/>
      <c r="Z373" s="682"/>
      <c r="AA373" s="682"/>
      <c r="AB373" s="683"/>
      <c r="AC373" s="683"/>
      <c r="AD373" s="683"/>
      <c r="AE373" s="683"/>
    </row>
    <row r="374" spans="1:37" s="684" customFormat="1" ht="13.15" customHeight="1" x14ac:dyDescent="0.2">
      <c r="A374" s="676" t="s">
        <v>257</v>
      </c>
      <c r="B374" s="677"/>
      <c r="C374" s="694">
        <f>C360+C366+C372</f>
        <v>0</v>
      </c>
      <c r="D374" s="694">
        <f t="shared" ref="D374:N374" si="602">D360+D366+D372</f>
        <v>0</v>
      </c>
      <c r="E374" s="694">
        <f t="shared" si="602"/>
        <v>0</v>
      </c>
      <c r="F374" s="694">
        <f t="shared" si="602"/>
        <v>0</v>
      </c>
      <c r="G374" s="694">
        <f t="shared" si="602"/>
        <v>0</v>
      </c>
      <c r="H374" s="694">
        <f t="shared" si="602"/>
        <v>0</v>
      </c>
      <c r="I374" s="694">
        <f t="shared" si="602"/>
        <v>0</v>
      </c>
      <c r="J374" s="694">
        <f t="shared" si="602"/>
        <v>0</v>
      </c>
      <c r="K374" s="694">
        <f t="shared" si="602"/>
        <v>0</v>
      </c>
      <c r="L374" s="694">
        <f t="shared" si="602"/>
        <v>0</v>
      </c>
      <c r="M374" s="694">
        <f t="shared" si="602"/>
        <v>0</v>
      </c>
      <c r="N374" s="694">
        <f t="shared" si="602"/>
        <v>0</v>
      </c>
      <c r="O374" s="679">
        <f>SUM(C374:N374)</f>
        <v>0</v>
      </c>
      <c r="P374" s="694">
        <f t="shared" ref="P374:AA374" si="603">P360+P366+P372</f>
        <v>0</v>
      </c>
      <c r="Q374" s="694">
        <f t="shared" si="603"/>
        <v>0</v>
      </c>
      <c r="R374" s="694">
        <f t="shared" si="603"/>
        <v>0</v>
      </c>
      <c r="S374" s="694">
        <f t="shared" si="603"/>
        <v>0</v>
      </c>
      <c r="T374" s="694">
        <f t="shared" si="603"/>
        <v>0</v>
      </c>
      <c r="U374" s="694">
        <f t="shared" si="603"/>
        <v>0</v>
      </c>
      <c r="V374" s="694">
        <f t="shared" si="603"/>
        <v>0</v>
      </c>
      <c r="W374" s="694">
        <f t="shared" si="603"/>
        <v>0</v>
      </c>
      <c r="X374" s="694">
        <f t="shared" si="603"/>
        <v>0</v>
      </c>
      <c r="Y374" s="694">
        <f t="shared" si="603"/>
        <v>0</v>
      </c>
      <c r="Z374" s="694">
        <f t="shared" si="603"/>
        <v>0</v>
      </c>
      <c r="AA374" s="694">
        <f t="shared" si="603"/>
        <v>0</v>
      </c>
      <c r="AB374" s="694">
        <f>SUM(P374:AA374)</f>
        <v>0</v>
      </c>
      <c r="AC374" s="694">
        <f t="shared" ref="AC374:AJ374" si="604">AC360+AC366+AC372</f>
        <v>0</v>
      </c>
      <c r="AD374" s="694">
        <f t="shared" si="604"/>
        <v>171.99000000000007</v>
      </c>
      <c r="AE374" s="694">
        <f t="shared" si="604"/>
        <v>531.44910000000016</v>
      </c>
      <c r="AF374" s="694">
        <f t="shared" si="604"/>
        <v>1084.1561640000004</v>
      </c>
      <c r="AG374" s="694">
        <f t="shared" si="604"/>
        <v>2189.9954512800005</v>
      </c>
      <c r="AH374" s="694">
        <f t="shared" si="604"/>
        <v>3284.9931769200002</v>
      </c>
      <c r="AI374" s="694">
        <f t="shared" si="604"/>
        <v>3954.1584536999999</v>
      </c>
      <c r="AJ374" s="694">
        <f t="shared" si="604"/>
        <v>4562.4905234999987</v>
      </c>
    </row>
    <row r="375" spans="1:37" s="674" customFormat="1" ht="13.15" customHeight="1" x14ac:dyDescent="0.2">
      <c r="A375" s="680"/>
      <c r="B375" s="681"/>
      <c r="C375" s="682"/>
      <c r="D375" s="682"/>
      <c r="E375" s="682"/>
      <c r="F375" s="682"/>
      <c r="G375" s="682"/>
      <c r="H375" s="682"/>
      <c r="I375" s="682"/>
      <c r="J375" s="682"/>
      <c r="K375" s="682"/>
      <c r="L375" s="682"/>
      <c r="M375" s="682"/>
      <c r="N375" s="682"/>
      <c r="O375" s="683"/>
      <c r="P375" s="682"/>
      <c r="Q375" s="682"/>
      <c r="R375" s="682"/>
      <c r="S375" s="682"/>
      <c r="T375" s="682"/>
      <c r="U375" s="682"/>
      <c r="V375" s="682"/>
      <c r="W375" s="682"/>
      <c r="X375" s="682"/>
      <c r="Y375" s="682"/>
      <c r="Z375" s="682"/>
      <c r="AA375" s="682"/>
      <c r="AB375" s="683"/>
      <c r="AC375" s="683"/>
      <c r="AD375" s="683"/>
      <c r="AE375" s="683"/>
    </row>
    <row r="376" spans="1:37" s="674" customFormat="1" ht="13.15" customHeight="1" x14ac:dyDescent="0.2">
      <c r="A376" s="680" t="s">
        <v>258</v>
      </c>
      <c r="B376" s="681"/>
      <c r="C376" s="767">
        <f>C$25</f>
        <v>300</v>
      </c>
      <c r="D376" s="767">
        <f t="shared" ref="D376:AJ376" si="605">D$25</f>
        <v>300</v>
      </c>
      <c r="E376" s="767">
        <f t="shared" si="605"/>
        <v>300</v>
      </c>
      <c r="F376" s="767">
        <f t="shared" si="605"/>
        <v>300</v>
      </c>
      <c r="G376" s="767">
        <f t="shared" si="605"/>
        <v>300</v>
      </c>
      <c r="H376" s="767">
        <f t="shared" si="605"/>
        <v>300</v>
      </c>
      <c r="I376" s="767">
        <f t="shared" si="605"/>
        <v>300</v>
      </c>
      <c r="J376" s="767">
        <f t="shared" si="605"/>
        <v>300</v>
      </c>
      <c r="K376" s="767">
        <f t="shared" si="605"/>
        <v>300</v>
      </c>
      <c r="L376" s="767">
        <f t="shared" si="605"/>
        <v>300</v>
      </c>
      <c r="M376" s="767">
        <f t="shared" si="605"/>
        <v>300</v>
      </c>
      <c r="N376" s="767">
        <f t="shared" si="605"/>
        <v>300</v>
      </c>
      <c r="O376" s="767">
        <f t="shared" si="605"/>
        <v>300</v>
      </c>
      <c r="P376" s="767">
        <f t="shared" si="605"/>
        <v>300</v>
      </c>
      <c r="Q376" s="767">
        <f t="shared" si="605"/>
        <v>300</v>
      </c>
      <c r="R376" s="767">
        <f t="shared" si="605"/>
        <v>300</v>
      </c>
      <c r="S376" s="767">
        <f t="shared" si="605"/>
        <v>300</v>
      </c>
      <c r="T376" s="767">
        <f t="shared" si="605"/>
        <v>300</v>
      </c>
      <c r="U376" s="767">
        <f t="shared" si="605"/>
        <v>300</v>
      </c>
      <c r="V376" s="767">
        <f t="shared" si="605"/>
        <v>300</v>
      </c>
      <c r="W376" s="767">
        <f t="shared" si="605"/>
        <v>300</v>
      </c>
      <c r="X376" s="767">
        <f t="shared" si="605"/>
        <v>300</v>
      </c>
      <c r="Y376" s="767">
        <f t="shared" si="605"/>
        <v>300</v>
      </c>
      <c r="Z376" s="767">
        <f t="shared" si="605"/>
        <v>300</v>
      </c>
      <c r="AA376" s="767">
        <f t="shared" si="605"/>
        <v>300</v>
      </c>
      <c r="AB376" s="767">
        <f t="shared" si="605"/>
        <v>300</v>
      </c>
      <c r="AC376" s="767">
        <f t="shared" si="605"/>
        <v>300</v>
      </c>
      <c r="AD376" s="767">
        <f t="shared" si="605"/>
        <v>300</v>
      </c>
      <c r="AE376" s="767">
        <f t="shared" si="605"/>
        <v>300</v>
      </c>
      <c r="AF376" s="767">
        <f t="shared" si="605"/>
        <v>300</v>
      </c>
      <c r="AG376" s="767">
        <f t="shared" si="605"/>
        <v>300</v>
      </c>
      <c r="AH376" s="767">
        <f t="shared" si="605"/>
        <v>300</v>
      </c>
      <c r="AI376" s="767">
        <f t="shared" si="605"/>
        <v>300</v>
      </c>
      <c r="AJ376" s="767">
        <f t="shared" si="605"/>
        <v>300</v>
      </c>
      <c r="AK376" s="693"/>
    </row>
    <row r="377" spans="1:37" s="674" customFormat="1" ht="13.15" customHeight="1" x14ac:dyDescent="0.2">
      <c r="A377" s="680"/>
      <c r="B377" s="681"/>
      <c r="C377" s="682"/>
      <c r="D377" s="682"/>
      <c r="E377" s="682"/>
      <c r="F377" s="682"/>
      <c r="G377" s="682"/>
      <c r="H377" s="682"/>
      <c r="I377" s="682"/>
      <c r="J377" s="682"/>
      <c r="K377" s="682"/>
      <c r="L377" s="682"/>
      <c r="M377" s="682"/>
      <c r="N377" s="682"/>
      <c r="O377" s="683"/>
      <c r="P377" s="682"/>
      <c r="Q377" s="682"/>
      <c r="R377" s="682"/>
      <c r="S377" s="682"/>
      <c r="T377" s="682"/>
      <c r="U377" s="682"/>
      <c r="V377" s="682"/>
      <c r="W377" s="682"/>
      <c r="X377" s="682"/>
      <c r="Y377" s="682"/>
      <c r="Z377" s="682"/>
      <c r="AA377" s="682"/>
      <c r="AB377" s="683"/>
      <c r="AC377" s="683"/>
      <c r="AD377" s="683"/>
      <c r="AE377" s="683"/>
    </row>
    <row r="378" spans="1:37" s="766" customFormat="1" ht="13.15" customHeight="1" x14ac:dyDescent="0.2">
      <c r="A378" s="763" t="s">
        <v>427</v>
      </c>
      <c r="B378" s="764"/>
      <c r="C378" s="765">
        <f>C374*C376</f>
        <v>0</v>
      </c>
      <c r="D378" s="765">
        <f t="shared" ref="D378:N378" si="606">D374*D376</f>
        <v>0</v>
      </c>
      <c r="E378" s="765">
        <f t="shared" si="606"/>
        <v>0</v>
      </c>
      <c r="F378" s="765">
        <f t="shared" si="606"/>
        <v>0</v>
      </c>
      <c r="G378" s="765">
        <f t="shared" si="606"/>
        <v>0</v>
      </c>
      <c r="H378" s="765">
        <f t="shared" si="606"/>
        <v>0</v>
      </c>
      <c r="I378" s="765">
        <f t="shared" si="606"/>
        <v>0</v>
      </c>
      <c r="J378" s="765">
        <f t="shared" si="606"/>
        <v>0</v>
      </c>
      <c r="K378" s="765">
        <f t="shared" si="606"/>
        <v>0</v>
      </c>
      <c r="L378" s="765">
        <f t="shared" si="606"/>
        <v>0</v>
      </c>
      <c r="M378" s="765">
        <f t="shared" si="606"/>
        <v>0</v>
      </c>
      <c r="N378" s="765">
        <f t="shared" si="606"/>
        <v>0</v>
      </c>
      <c r="O378" s="765">
        <f>SUM(C378:N378)</f>
        <v>0</v>
      </c>
      <c r="P378" s="765">
        <f>P374*P376</f>
        <v>0</v>
      </c>
      <c r="Q378" s="765">
        <f t="shared" ref="Q378:AA378" si="607">Q374*Q376</f>
        <v>0</v>
      </c>
      <c r="R378" s="765">
        <f t="shared" si="607"/>
        <v>0</v>
      </c>
      <c r="S378" s="765">
        <f t="shared" si="607"/>
        <v>0</v>
      </c>
      <c r="T378" s="765">
        <f t="shared" si="607"/>
        <v>0</v>
      </c>
      <c r="U378" s="765">
        <f t="shared" si="607"/>
        <v>0</v>
      </c>
      <c r="V378" s="765">
        <f t="shared" si="607"/>
        <v>0</v>
      </c>
      <c r="W378" s="765">
        <f t="shared" si="607"/>
        <v>0</v>
      </c>
      <c r="X378" s="765">
        <f t="shared" si="607"/>
        <v>0</v>
      </c>
      <c r="Y378" s="765">
        <f t="shared" si="607"/>
        <v>0</v>
      </c>
      <c r="Z378" s="765">
        <f t="shared" si="607"/>
        <v>0</v>
      </c>
      <c r="AA378" s="765">
        <f t="shared" si="607"/>
        <v>0</v>
      </c>
      <c r="AB378" s="765">
        <f>SUM(P378:AA378)</f>
        <v>0</v>
      </c>
      <c r="AC378" s="765">
        <f t="shared" ref="AC378:AJ378" si="608">AC374*AC376</f>
        <v>0</v>
      </c>
      <c r="AD378" s="765">
        <f t="shared" si="608"/>
        <v>51597.000000000022</v>
      </c>
      <c r="AE378" s="765">
        <f t="shared" si="608"/>
        <v>159434.73000000004</v>
      </c>
      <c r="AF378" s="765">
        <f t="shared" si="608"/>
        <v>325246.84920000011</v>
      </c>
      <c r="AG378" s="765">
        <f t="shared" si="608"/>
        <v>656998.63538400014</v>
      </c>
      <c r="AH378" s="765">
        <f t="shared" si="608"/>
        <v>985497.95307600009</v>
      </c>
      <c r="AI378" s="765">
        <f t="shared" si="608"/>
        <v>1186247.53611</v>
      </c>
      <c r="AJ378" s="765">
        <f t="shared" si="608"/>
        <v>1368747.1570499996</v>
      </c>
    </row>
    <row r="379" spans="1:37" s="674" customFormat="1" ht="13.15" customHeight="1" x14ac:dyDescent="0.2">
      <c r="A379" s="680"/>
      <c r="B379" s="681"/>
      <c r="C379" s="682"/>
      <c r="D379" s="682"/>
      <c r="E379" s="682"/>
      <c r="F379" s="682"/>
      <c r="G379" s="682"/>
      <c r="H379" s="682"/>
      <c r="I379" s="682"/>
      <c r="J379" s="682"/>
      <c r="K379" s="682"/>
      <c r="L379" s="682"/>
      <c r="M379" s="682"/>
      <c r="N379" s="682"/>
      <c r="O379" s="683"/>
      <c r="P379" s="682"/>
      <c r="Q379" s="682"/>
      <c r="R379" s="682"/>
      <c r="S379" s="682"/>
      <c r="T379" s="682"/>
      <c r="U379" s="682"/>
      <c r="V379" s="682"/>
      <c r="W379" s="682"/>
      <c r="X379" s="682"/>
      <c r="Y379" s="682"/>
      <c r="Z379" s="682"/>
      <c r="AA379" s="682"/>
      <c r="AB379" s="683"/>
      <c r="AC379" s="683"/>
      <c r="AD379" s="683"/>
      <c r="AE379" s="683"/>
    </row>
    <row r="380" spans="1:37" s="674" customFormat="1" ht="13.15" customHeight="1" x14ac:dyDescent="0.2">
      <c r="A380" s="680"/>
      <c r="B380" s="681"/>
      <c r="C380" s="682"/>
      <c r="D380" s="682"/>
      <c r="E380" s="682"/>
      <c r="F380" s="682"/>
      <c r="G380" s="682"/>
      <c r="H380" s="682"/>
      <c r="I380" s="682"/>
      <c r="J380" s="682"/>
      <c r="K380" s="682"/>
      <c r="L380" s="682"/>
      <c r="M380" s="682"/>
      <c r="N380" s="682"/>
      <c r="O380" s="683"/>
      <c r="P380" s="682"/>
      <c r="Q380" s="682"/>
      <c r="R380" s="682"/>
      <c r="S380" s="682"/>
      <c r="T380" s="682"/>
      <c r="U380" s="682"/>
      <c r="V380" s="682"/>
      <c r="W380" s="682"/>
      <c r="X380" s="682"/>
      <c r="Y380" s="682"/>
      <c r="Z380" s="682"/>
      <c r="AA380" s="682"/>
      <c r="AB380" s="683"/>
      <c r="AC380" s="683"/>
      <c r="AD380" s="683"/>
      <c r="AE380" s="683"/>
    </row>
    <row r="381" spans="1:37" s="674" customFormat="1" ht="13.15" customHeight="1" x14ac:dyDescent="0.2">
      <c r="A381" s="676" t="s">
        <v>454</v>
      </c>
      <c r="B381" s="677"/>
      <c r="C381" s="678"/>
      <c r="D381" s="678"/>
      <c r="E381" s="678"/>
      <c r="F381" s="678"/>
      <c r="G381" s="678"/>
      <c r="H381" s="678"/>
      <c r="I381" s="678"/>
      <c r="J381" s="678"/>
      <c r="K381" s="678"/>
      <c r="L381" s="678"/>
      <c r="M381" s="678"/>
      <c r="N381" s="678"/>
      <c r="O381" s="679"/>
      <c r="P381" s="678"/>
      <c r="Q381" s="678"/>
      <c r="R381" s="678"/>
      <c r="S381" s="678"/>
      <c r="T381" s="678"/>
      <c r="U381" s="678"/>
      <c r="V381" s="678"/>
      <c r="W381" s="678"/>
      <c r="X381" s="678"/>
      <c r="Y381" s="678"/>
      <c r="Z381" s="678"/>
      <c r="AA381" s="678"/>
      <c r="AB381" s="679"/>
      <c r="AC381" s="679"/>
      <c r="AD381" s="679"/>
      <c r="AE381" s="679"/>
    </row>
    <row r="382" spans="1:37" s="674" customFormat="1" ht="13.15" customHeight="1" x14ac:dyDescent="0.2">
      <c r="A382" s="674" t="s">
        <v>250</v>
      </c>
      <c r="B382" s="681"/>
      <c r="C382" s="690">
        <f>$O382/12</f>
        <v>375</v>
      </c>
      <c r="D382" s="690">
        <f t="shared" ref="D382:N382" si="609">$O382/12</f>
        <v>375</v>
      </c>
      <c r="E382" s="690">
        <f t="shared" si="609"/>
        <v>375</v>
      </c>
      <c r="F382" s="690">
        <f t="shared" si="609"/>
        <v>375</v>
      </c>
      <c r="G382" s="690">
        <f t="shared" si="609"/>
        <v>375</v>
      </c>
      <c r="H382" s="690">
        <f t="shared" si="609"/>
        <v>375</v>
      </c>
      <c r="I382" s="690">
        <f t="shared" si="609"/>
        <v>375</v>
      </c>
      <c r="J382" s="690">
        <f t="shared" si="609"/>
        <v>375</v>
      </c>
      <c r="K382" s="690">
        <f t="shared" si="609"/>
        <v>375</v>
      </c>
      <c r="L382" s="690">
        <f t="shared" si="609"/>
        <v>375</v>
      </c>
      <c r="M382" s="690">
        <f t="shared" si="609"/>
        <v>375</v>
      </c>
      <c r="N382" s="690">
        <f t="shared" si="609"/>
        <v>375</v>
      </c>
      <c r="O382" s="689">
        <v>4500</v>
      </c>
      <c r="P382" s="690">
        <f>$AB382/12</f>
        <v>393.75</v>
      </c>
      <c r="Q382" s="690">
        <f t="shared" ref="Q382:AA382" si="610">$AB382/12</f>
        <v>393.75</v>
      </c>
      <c r="R382" s="690">
        <f t="shared" si="610"/>
        <v>393.75</v>
      </c>
      <c r="S382" s="690">
        <f t="shared" si="610"/>
        <v>393.75</v>
      </c>
      <c r="T382" s="690">
        <f t="shared" si="610"/>
        <v>393.75</v>
      </c>
      <c r="U382" s="690">
        <f t="shared" si="610"/>
        <v>393.75</v>
      </c>
      <c r="V382" s="690">
        <f t="shared" si="610"/>
        <v>393.75</v>
      </c>
      <c r="W382" s="690">
        <f t="shared" si="610"/>
        <v>393.75</v>
      </c>
      <c r="X382" s="690">
        <f t="shared" si="610"/>
        <v>393.75</v>
      </c>
      <c r="Y382" s="690">
        <f t="shared" si="610"/>
        <v>393.75</v>
      </c>
      <c r="Z382" s="690">
        <f t="shared" si="610"/>
        <v>393.75</v>
      </c>
      <c r="AA382" s="690">
        <f t="shared" si="610"/>
        <v>393.75</v>
      </c>
      <c r="AB382" s="690">
        <f>O382*(1+AB383)</f>
        <v>4725</v>
      </c>
      <c r="AC382" s="690">
        <f t="shared" ref="AC382:AJ382" si="611">AB382*(1+AC383)</f>
        <v>4961.25</v>
      </c>
      <c r="AD382" s="690">
        <f t="shared" si="611"/>
        <v>5159.7</v>
      </c>
      <c r="AE382" s="690">
        <f t="shared" si="611"/>
        <v>5314.491</v>
      </c>
      <c r="AF382" s="690">
        <f t="shared" si="611"/>
        <v>5420.7808199999999</v>
      </c>
      <c r="AG382" s="690">
        <f t="shared" si="611"/>
        <v>5474.9886281999998</v>
      </c>
      <c r="AH382" s="690">
        <f t="shared" si="611"/>
        <v>5474.9886281999998</v>
      </c>
      <c r="AI382" s="690">
        <f t="shared" si="611"/>
        <v>5474.9886281999998</v>
      </c>
      <c r="AJ382" s="690">
        <f t="shared" si="611"/>
        <v>5474.9886281999998</v>
      </c>
    </row>
    <row r="383" spans="1:37" s="688" customFormat="1" ht="13.15" customHeight="1" x14ac:dyDescent="0.2">
      <c r="A383" s="680" t="s">
        <v>324</v>
      </c>
      <c r="B383" s="681"/>
      <c r="C383" s="687"/>
      <c r="D383" s="687"/>
      <c r="E383" s="687"/>
      <c r="F383" s="687"/>
      <c r="G383" s="687"/>
      <c r="H383" s="687"/>
      <c r="I383" s="687"/>
      <c r="J383" s="687"/>
      <c r="K383" s="687"/>
      <c r="L383" s="687"/>
      <c r="M383" s="687"/>
      <c r="N383" s="687"/>
      <c r="O383" s="692"/>
      <c r="P383" s="687"/>
      <c r="Q383" s="687"/>
      <c r="R383" s="687"/>
      <c r="S383" s="687"/>
      <c r="T383" s="687"/>
      <c r="U383" s="687"/>
      <c r="V383" s="687"/>
      <c r="W383" s="687"/>
      <c r="X383" s="687"/>
      <c r="Y383" s="687"/>
      <c r="Z383" s="687"/>
      <c r="AA383" s="687"/>
      <c r="AB383" s="687">
        <v>0.05</v>
      </c>
      <c r="AC383" s="687">
        <v>0.05</v>
      </c>
      <c r="AD383" s="687">
        <f>AC383-1%</f>
        <v>0.04</v>
      </c>
      <c r="AE383" s="687">
        <f>AD383-1%</f>
        <v>0.03</v>
      </c>
      <c r="AF383" s="687">
        <f>AE383-1%</f>
        <v>1.9999999999999997E-2</v>
      </c>
      <c r="AG383" s="687">
        <f>AF383-1%</f>
        <v>9.9999999999999967E-3</v>
      </c>
      <c r="AH383" s="687">
        <f>AG383-1%</f>
        <v>0</v>
      </c>
      <c r="AI383" s="688">
        <f>AH383</f>
        <v>0</v>
      </c>
      <c r="AJ383" s="688">
        <f>AI383</f>
        <v>0</v>
      </c>
    </row>
    <row r="384" spans="1:37" s="688" customFormat="1" ht="13.15" customHeight="1" x14ac:dyDescent="0.2">
      <c r="A384" s="680" t="s">
        <v>248</v>
      </c>
      <c r="B384" s="681"/>
      <c r="C384" s="687">
        <f t="shared" ref="C384:N384" si="612">C357</f>
        <v>0</v>
      </c>
      <c r="D384" s="687">
        <f t="shared" si="612"/>
        <v>0</v>
      </c>
      <c r="E384" s="687">
        <f t="shared" si="612"/>
        <v>0</v>
      </c>
      <c r="F384" s="687">
        <f t="shared" si="612"/>
        <v>0</v>
      </c>
      <c r="G384" s="687">
        <f t="shared" si="612"/>
        <v>0</v>
      </c>
      <c r="H384" s="687">
        <f t="shared" si="612"/>
        <v>0</v>
      </c>
      <c r="I384" s="687">
        <f t="shared" si="612"/>
        <v>0</v>
      </c>
      <c r="J384" s="687">
        <f t="shared" si="612"/>
        <v>0</v>
      </c>
      <c r="K384" s="687">
        <f t="shared" si="612"/>
        <v>0</v>
      </c>
      <c r="L384" s="687">
        <f t="shared" si="612"/>
        <v>0</v>
      </c>
      <c r="M384" s="687">
        <f t="shared" si="612"/>
        <v>0</v>
      </c>
      <c r="N384" s="687">
        <f t="shared" si="612"/>
        <v>0</v>
      </c>
      <c r="O384" s="692">
        <f>N384</f>
        <v>0</v>
      </c>
      <c r="P384" s="687">
        <v>0</v>
      </c>
      <c r="Q384" s="687">
        <f t="shared" ref="Q384:AB384" si="613">P384</f>
        <v>0</v>
      </c>
      <c r="R384" s="687">
        <f t="shared" si="613"/>
        <v>0</v>
      </c>
      <c r="S384" s="687">
        <f t="shared" si="613"/>
        <v>0</v>
      </c>
      <c r="T384" s="687">
        <f t="shared" si="613"/>
        <v>0</v>
      </c>
      <c r="U384" s="687">
        <f t="shared" si="613"/>
        <v>0</v>
      </c>
      <c r="V384" s="687">
        <f t="shared" si="613"/>
        <v>0</v>
      </c>
      <c r="W384" s="687">
        <f t="shared" si="613"/>
        <v>0</v>
      </c>
      <c r="X384" s="687">
        <f t="shared" si="613"/>
        <v>0</v>
      </c>
      <c r="Y384" s="687">
        <f t="shared" si="613"/>
        <v>0</v>
      </c>
      <c r="Z384" s="687">
        <f t="shared" si="613"/>
        <v>0</v>
      </c>
      <c r="AA384" s="687">
        <f t="shared" si="613"/>
        <v>0</v>
      </c>
      <c r="AB384" s="692">
        <f t="shared" si="613"/>
        <v>0</v>
      </c>
      <c r="AC384" s="687">
        <f>AC357</f>
        <v>0</v>
      </c>
      <c r="AD384" s="687">
        <f t="shared" ref="AD384:AJ384" si="614">AD357</f>
        <v>1.2000000000000004E-2</v>
      </c>
      <c r="AE384" s="687">
        <f t="shared" si="614"/>
        <v>2.4000000000000007E-2</v>
      </c>
      <c r="AF384" s="687">
        <f t="shared" si="614"/>
        <v>4.8000000000000015E-2</v>
      </c>
      <c r="AG384" s="687">
        <f t="shared" si="614"/>
        <v>9.600000000000003E-2</v>
      </c>
      <c r="AH384" s="687">
        <f t="shared" si="614"/>
        <v>0.12</v>
      </c>
      <c r="AI384" s="687">
        <f t="shared" si="614"/>
        <v>0.13999999999999999</v>
      </c>
      <c r="AJ384" s="687">
        <f t="shared" si="614"/>
        <v>0.15999999999999998</v>
      </c>
    </row>
    <row r="385" spans="1:36" s="674" customFormat="1" ht="13.15" customHeight="1" x14ac:dyDescent="0.2">
      <c r="A385" s="680" t="s">
        <v>251</v>
      </c>
      <c r="B385" s="681"/>
      <c r="C385" s="690">
        <f t="shared" ref="C385:N385" si="615">C382*C384</f>
        <v>0</v>
      </c>
      <c r="D385" s="690">
        <f t="shared" si="615"/>
        <v>0</v>
      </c>
      <c r="E385" s="690">
        <f t="shared" si="615"/>
        <v>0</v>
      </c>
      <c r="F385" s="690">
        <f t="shared" si="615"/>
        <v>0</v>
      </c>
      <c r="G385" s="690">
        <f t="shared" si="615"/>
        <v>0</v>
      </c>
      <c r="H385" s="690">
        <f t="shared" si="615"/>
        <v>0</v>
      </c>
      <c r="I385" s="690">
        <f t="shared" si="615"/>
        <v>0</v>
      </c>
      <c r="J385" s="690">
        <f t="shared" si="615"/>
        <v>0</v>
      </c>
      <c r="K385" s="690">
        <f t="shared" si="615"/>
        <v>0</v>
      </c>
      <c r="L385" s="690">
        <f t="shared" si="615"/>
        <v>0</v>
      </c>
      <c r="M385" s="690">
        <f t="shared" si="615"/>
        <v>0</v>
      </c>
      <c r="N385" s="690">
        <f t="shared" si="615"/>
        <v>0</v>
      </c>
      <c r="O385" s="683">
        <f>SUM(C385:N385)</f>
        <v>0</v>
      </c>
      <c r="P385" s="690">
        <f t="shared" ref="P385:AA385" si="616">P382*P384</f>
        <v>0</v>
      </c>
      <c r="Q385" s="690">
        <f t="shared" si="616"/>
        <v>0</v>
      </c>
      <c r="R385" s="690">
        <f t="shared" si="616"/>
        <v>0</v>
      </c>
      <c r="S385" s="690">
        <f t="shared" si="616"/>
        <v>0</v>
      </c>
      <c r="T385" s="690">
        <f t="shared" si="616"/>
        <v>0</v>
      </c>
      <c r="U385" s="690">
        <f t="shared" si="616"/>
        <v>0</v>
      </c>
      <c r="V385" s="690">
        <f t="shared" si="616"/>
        <v>0</v>
      </c>
      <c r="W385" s="690">
        <f t="shared" si="616"/>
        <v>0</v>
      </c>
      <c r="X385" s="690">
        <f t="shared" si="616"/>
        <v>0</v>
      </c>
      <c r="Y385" s="690">
        <f t="shared" si="616"/>
        <v>0</v>
      </c>
      <c r="Z385" s="690">
        <f t="shared" si="616"/>
        <v>0</v>
      </c>
      <c r="AA385" s="690">
        <f t="shared" si="616"/>
        <v>0</v>
      </c>
      <c r="AB385" s="690">
        <f>SUM(P385:AA385)</f>
        <v>0</v>
      </c>
      <c r="AC385" s="690">
        <f>AC382*AVERAGE(AA384,AC384)</f>
        <v>0</v>
      </c>
      <c r="AD385" s="690">
        <f t="shared" ref="AD385:AJ385" si="617">AD382*AVERAGE(AC384,AD384)</f>
        <v>30.958200000000009</v>
      </c>
      <c r="AE385" s="690">
        <f t="shared" si="617"/>
        <v>95.660838000000027</v>
      </c>
      <c r="AF385" s="690">
        <f t="shared" si="617"/>
        <v>195.14810952000005</v>
      </c>
      <c r="AG385" s="690">
        <f t="shared" si="617"/>
        <v>394.19918123040009</v>
      </c>
      <c r="AH385" s="690">
        <f t="shared" si="617"/>
        <v>591.29877184560007</v>
      </c>
      <c r="AI385" s="690">
        <f t="shared" si="617"/>
        <v>711.74852166599999</v>
      </c>
      <c r="AJ385" s="690">
        <f t="shared" si="617"/>
        <v>821.24829422999983</v>
      </c>
    </row>
    <row r="386" spans="1:36" s="674" customFormat="1" ht="13.15" customHeight="1" x14ac:dyDescent="0.2">
      <c r="A386" s="680" t="s">
        <v>249</v>
      </c>
      <c r="B386" s="681"/>
      <c r="C386" s="686">
        <v>1</v>
      </c>
      <c r="D386" s="686">
        <f t="shared" ref="D386:O386" si="618">C386</f>
        <v>1</v>
      </c>
      <c r="E386" s="686">
        <f t="shared" si="618"/>
        <v>1</v>
      </c>
      <c r="F386" s="686">
        <f t="shared" si="618"/>
        <v>1</v>
      </c>
      <c r="G386" s="686">
        <f t="shared" si="618"/>
        <v>1</v>
      </c>
      <c r="H386" s="686">
        <f t="shared" si="618"/>
        <v>1</v>
      </c>
      <c r="I386" s="686">
        <f t="shared" si="618"/>
        <v>1</v>
      </c>
      <c r="J386" s="686">
        <f t="shared" si="618"/>
        <v>1</v>
      </c>
      <c r="K386" s="686">
        <f t="shared" si="618"/>
        <v>1</v>
      </c>
      <c r="L386" s="686">
        <f t="shared" si="618"/>
        <v>1</v>
      </c>
      <c r="M386" s="686">
        <f t="shared" si="618"/>
        <v>1</v>
      </c>
      <c r="N386" s="686">
        <f t="shared" si="618"/>
        <v>1</v>
      </c>
      <c r="O386" s="685">
        <f t="shared" si="618"/>
        <v>1</v>
      </c>
      <c r="P386" s="686">
        <f>N386</f>
        <v>1</v>
      </c>
      <c r="Q386" s="686">
        <f t="shared" ref="Q386:AB386" si="619">P386</f>
        <v>1</v>
      </c>
      <c r="R386" s="686">
        <f t="shared" si="619"/>
        <v>1</v>
      </c>
      <c r="S386" s="686">
        <f t="shared" si="619"/>
        <v>1</v>
      </c>
      <c r="T386" s="686">
        <f t="shared" si="619"/>
        <v>1</v>
      </c>
      <c r="U386" s="686">
        <f t="shared" si="619"/>
        <v>1</v>
      </c>
      <c r="V386" s="686">
        <f t="shared" si="619"/>
        <v>1</v>
      </c>
      <c r="W386" s="686">
        <f t="shared" si="619"/>
        <v>1</v>
      </c>
      <c r="X386" s="686">
        <f t="shared" si="619"/>
        <v>1</v>
      </c>
      <c r="Y386" s="686">
        <f t="shared" si="619"/>
        <v>1</v>
      </c>
      <c r="Z386" s="686">
        <f t="shared" si="619"/>
        <v>1</v>
      </c>
      <c r="AA386" s="686">
        <f t="shared" si="619"/>
        <v>1</v>
      </c>
      <c r="AB386" s="686">
        <f t="shared" si="619"/>
        <v>1</v>
      </c>
      <c r="AC386" s="686">
        <f>AA386</f>
        <v>1</v>
      </c>
      <c r="AD386" s="686">
        <f t="shared" ref="AD386:AJ386" si="620">AC386</f>
        <v>1</v>
      </c>
      <c r="AE386" s="686">
        <f t="shared" si="620"/>
        <v>1</v>
      </c>
      <c r="AF386" s="686">
        <f t="shared" si="620"/>
        <v>1</v>
      </c>
      <c r="AG386" s="686">
        <f t="shared" si="620"/>
        <v>1</v>
      </c>
      <c r="AH386" s="686">
        <f t="shared" si="620"/>
        <v>1</v>
      </c>
      <c r="AI386" s="686">
        <f t="shared" si="620"/>
        <v>1</v>
      </c>
      <c r="AJ386" s="686">
        <f t="shared" si="620"/>
        <v>1</v>
      </c>
    </row>
    <row r="387" spans="1:36" s="674" customFormat="1" ht="13.15" customHeight="1" x14ac:dyDescent="0.2">
      <c r="A387" s="680" t="s">
        <v>255</v>
      </c>
      <c r="B387" s="681"/>
      <c r="C387" s="690">
        <f t="shared" ref="C387:N387" si="621">C385*C386</f>
        <v>0</v>
      </c>
      <c r="D387" s="690">
        <f t="shared" si="621"/>
        <v>0</v>
      </c>
      <c r="E387" s="690">
        <f t="shared" si="621"/>
        <v>0</v>
      </c>
      <c r="F387" s="690">
        <f t="shared" si="621"/>
        <v>0</v>
      </c>
      <c r="G387" s="690">
        <f t="shared" si="621"/>
        <v>0</v>
      </c>
      <c r="H387" s="690">
        <f t="shared" si="621"/>
        <v>0</v>
      </c>
      <c r="I387" s="690">
        <f t="shared" si="621"/>
        <v>0</v>
      </c>
      <c r="J387" s="690">
        <f t="shared" si="621"/>
        <v>0</v>
      </c>
      <c r="K387" s="690">
        <f t="shared" si="621"/>
        <v>0</v>
      </c>
      <c r="L387" s="690">
        <f t="shared" si="621"/>
        <v>0</v>
      </c>
      <c r="M387" s="690">
        <f t="shared" si="621"/>
        <v>0</v>
      </c>
      <c r="N387" s="690">
        <f t="shared" si="621"/>
        <v>0</v>
      </c>
      <c r="O387" s="691">
        <f>SUM(C387:N387)</f>
        <v>0</v>
      </c>
      <c r="P387" s="690">
        <f t="shared" ref="P387:AA387" si="622">P385*P386</f>
        <v>0</v>
      </c>
      <c r="Q387" s="690">
        <f t="shared" si="622"/>
        <v>0</v>
      </c>
      <c r="R387" s="690">
        <f t="shared" si="622"/>
        <v>0</v>
      </c>
      <c r="S387" s="690">
        <f t="shared" si="622"/>
        <v>0</v>
      </c>
      <c r="T387" s="690">
        <f t="shared" si="622"/>
        <v>0</v>
      </c>
      <c r="U387" s="690">
        <f t="shared" si="622"/>
        <v>0</v>
      </c>
      <c r="V387" s="690">
        <f t="shared" si="622"/>
        <v>0</v>
      </c>
      <c r="W387" s="690">
        <f t="shared" si="622"/>
        <v>0</v>
      </c>
      <c r="X387" s="690">
        <f t="shared" si="622"/>
        <v>0</v>
      </c>
      <c r="Y387" s="690">
        <f t="shared" si="622"/>
        <v>0</v>
      </c>
      <c r="Z387" s="690">
        <f t="shared" si="622"/>
        <v>0</v>
      </c>
      <c r="AA387" s="690">
        <f t="shared" si="622"/>
        <v>0</v>
      </c>
      <c r="AB387" s="691">
        <f>SUM(P387:AA387)</f>
        <v>0</v>
      </c>
      <c r="AC387" s="690">
        <f t="shared" ref="AC387:AJ387" si="623">AC385*AC386</f>
        <v>0</v>
      </c>
      <c r="AD387" s="690">
        <f t="shared" si="623"/>
        <v>30.958200000000009</v>
      </c>
      <c r="AE387" s="690">
        <f t="shared" si="623"/>
        <v>95.660838000000027</v>
      </c>
      <c r="AF387" s="690">
        <f t="shared" si="623"/>
        <v>195.14810952000005</v>
      </c>
      <c r="AG387" s="690">
        <f t="shared" si="623"/>
        <v>394.19918123040009</v>
      </c>
      <c r="AH387" s="690">
        <f t="shared" si="623"/>
        <v>591.29877184560007</v>
      </c>
      <c r="AI387" s="690">
        <f t="shared" si="623"/>
        <v>711.74852166599999</v>
      </c>
      <c r="AJ387" s="690">
        <f t="shared" si="623"/>
        <v>821.24829422999983</v>
      </c>
    </row>
    <row r="389" spans="1:36" s="674" customFormat="1" ht="13.15" customHeight="1" x14ac:dyDescent="0.2">
      <c r="A389" s="680" t="s">
        <v>253</v>
      </c>
      <c r="B389" s="681"/>
      <c r="C389" s="689">
        <v>0</v>
      </c>
      <c r="D389" s="689">
        <v>0</v>
      </c>
      <c r="E389" s="689">
        <v>0</v>
      </c>
      <c r="F389" s="689">
        <v>0</v>
      </c>
      <c r="G389" s="689">
        <v>0</v>
      </c>
      <c r="H389" s="689">
        <v>0</v>
      </c>
      <c r="I389" s="689">
        <v>0</v>
      </c>
      <c r="J389" s="689">
        <v>0</v>
      </c>
      <c r="K389" s="689">
        <v>0</v>
      </c>
      <c r="L389" s="689">
        <v>0</v>
      </c>
      <c r="M389" s="689">
        <v>0</v>
      </c>
      <c r="N389" s="689">
        <v>0</v>
      </c>
      <c r="O389" s="690">
        <f>N389</f>
        <v>0</v>
      </c>
      <c r="P389" s="689">
        <f>N389</f>
        <v>0</v>
      </c>
      <c r="Q389" s="689">
        <f t="shared" ref="Q389:AB389" si="624">P389</f>
        <v>0</v>
      </c>
      <c r="R389" s="689">
        <f t="shared" si="624"/>
        <v>0</v>
      </c>
      <c r="S389" s="689">
        <f t="shared" si="624"/>
        <v>0</v>
      </c>
      <c r="T389" s="689">
        <f t="shared" si="624"/>
        <v>0</v>
      </c>
      <c r="U389" s="689">
        <f t="shared" si="624"/>
        <v>0</v>
      </c>
      <c r="V389" s="689">
        <f t="shared" si="624"/>
        <v>0</v>
      </c>
      <c r="W389" s="689">
        <f t="shared" si="624"/>
        <v>0</v>
      </c>
      <c r="X389" s="689">
        <f t="shared" si="624"/>
        <v>0</v>
      </c>
      <c r="Y389" s="689">
        <f t="shared" si="624"/>
        <v>0</v>
      </c>
      <c r="Z389" s="689">
        <f t="shared" si="624"/>
        <v>0</v>
      </c>
      <c r="AA389" s="689">
        <f t="shared" si="624"/>
        <v>0</v>
      </c>
      <c r="AB389" s="690">
        <f t="shared" si="624"/>
        <v>0</v>
      </c>
      <c r="AC389" s="689">
        <f>AA389</f>
        <v>0</v>
      </c>
      <c r="AD389" s="689">
        <f t="shared" ref="AD389:AJ389" si="625">AC389</f>
        <v>0</v>
      </c>
      <c r="AE389" s="689">
        <f t="shared" si="625"/>
        <v>0</v>
      </c>
      <c r="AF389" s="689">
        <f t="shared" si="625"/>
        <v>0</v>
      </c>
      <c r="AG389" s="689">
        <f t="shared" si="625"/>
        <v>0</v>
      </c>
      <c r="AH389" s="689">
        <f t="shared" si="625"/>
        <v>0</v>
      </c>
      <c r="AI389" s="689">
        <f t="shared" si="625"/>
        <v>0</v>
      </c>
      <c r="AJ389" s="689">
        <f t="shared" si="625"/>
        <v>0</v>
      </c>
    </row>
    <row r="390" spans="1:36" s="674" customFormat="1" ht="13.15" customHeight="1" x14ac:dyDescent="0.2">
      <c r="A390" s="680" t="s">
        <v>252</v>
      </c>
      <c r="B390" s="681"/>
      <c r="C390" s="689">
        <f>100/12</f>
        <v>8.3333333333333339</v>
      </c>
      <c r="D390" s="689">
        <f t="shared" ref="D390:N390" si="626">100/12</f>
        <v>8.3333333333333339</v>
      </c>
      <c r="E390" s="689">
        <f t="shared" si="626"/>
        <v>8.3333333333333339</v>
      </c>
      <c r="F390" s="689">
        <f t="shared" si="626"/>
        <v>8.3333333333333339</v>
      </c>
      <c r="G390" s="689">
        <f t="shared" si="626"/>
        <v>8.3333333333333339</v>
      </c>
      <c r="H390" s="689">
        <f t="shared" si="626"/>
        <v>8.3333333333333339</v>
      </c>
      <c r="I390" s="689">
        <f t="shared" si="626"/>
        <v>8.3333333333333339</v>
      </c>
      <c r="J390" s="689">
        <f t="shared" si="626"/>
        <v>8.3333333333333339</v>
      </c>
      <c r="K390" s="689">
        <f t="shared" si="626"/>
        <v>8.3333333333333339</v>
      </c>
      <c r="L390" s="689">
        <f t="shared" si="626"/>
        <v>8.3333333333333339</v>
      </c>
      <c r="M390" s="689">
        <f t="shared" si="626"/>
        <v>8.3333333333333339</v>
      </c>
      <c r="N390" s="689">
        <f t="shared" si="626"/>
        <v>8.3333333333333339</v>
      </c>
      <c r="O390" s="683">
        <f>SUM(C390:N390)</f>
        <v>99.999999999999986</v>
      </c>
      <c r="P390" s="689">
        <f t="shared" ref="P390:AA390" si="627">100/12</f>
        <v>8.3333333333333339</v>
      </c>
      <c r="Q390" s="689">
        <f t="shared" si="627"/>
        <v>8.3333333333333339</v>
      </c>
      <c r="R390" s="689">
        <f t="shared" si="627"/>
        <v>8.3333333333333339</v>
      </c>
      <c r="S390" s="689">
        <f t="shared" si="627"/>
        <v>8.3333333333333339</v>
      </c>
      <c r="T390" s="689">
        <f t="shared" si="627"/>
        <v>8.3333333333333339</v>
      </c>
      <c r="U390" s="689">
        <f t="shared" si="627"/>
        <v>8.3333333333333339</v>
      </c>
      <c r="V390" s="689">
        <f t="shared" si="627"/>
        <v>8.3333333333333339</v>
      </c>
      <c r="W390" s="689">
        <f t="shared" si="627"/>
        <v>8.3333333333333339</v>
      </c>
      <c r="X390" s="689">
        <f t="shared" si="627"/>
        <v>8.3333333333333339</v>
      </c>
      <c r="Y390" s="689">
        <f t="shared" si="627"/>
        <v>8.3333333333333339</v>
      </c>
      <c r="Z390" s="689">
        <f t="shared" si="627"/>
        <v>8.3333333333333339</v>
      </c>
      <c r="AA390" s="689">
        <f t="shared" si="627"/>
        <v>8.3333333333333339</v>
      </c>
      <c r="AB390" s="683">
        <f>SUM(P390:AA390)</f>
        <v>99.999999999999986</v>
      </c>
      <c r="AC390" s="689">
        <v>100</v>
      </c>
      <c r="AD390" s="689">
        <v>100</v>
      </c>
      <c r="AE390" s="689">
        <v>100</v>
      </c>
      <c r="AF390" s="689">
        <v>100</v>
      </c>
      <c r="AG390" s="689">
        <v>100</v>
      </c>
      <c r="AH390" s="689">
        <v>100</v>
      </c>
      <c r="AI390" s="689">
        <v>100</v>
      </c>
      <c r="AJ390" s="689">
        <v>100</v>
      </c>
    </row>
    <row r="391" spans="1:36" s="674" customFormat="1" ht="13.15" customHeight="1" x14ac:dyDescent="0.2">
      <c r="A391" s="680" t="s">
        <v>254</v>
      </c>
      <c r="B391" s="681"/>
      <c r="C391" s="690">
        <f t="shared" ref="C391:N391" si="628">C389*C390</f>
        <v>0</v>
      </c>
      <c r="D391" s="690">
        <f t="shared" si="628"/>
        <v>0</v>
      </c>
      <c r="E391" s="690">
        <f t="shared" si="628"/>
        <v>0</v>
      </c>
      <c r="F391" s="690">
        <f t="shared" si="628"/>
        <v>0</v>
      </c>
      <c r="G391" s="690">
        <f t="shared" si="628"/>
        <v>0</v>
      </c>
      <c r="H391" s="690">
        <f t="shared" si="628"/>
        <v>0</v>
      </c>
      <c r="I391" s="690">
        <f t="shared" si="628"/>
        <v>0</v>
      </c>
      <c r="J391" s="690">
        <f t="shared" si="628"/>
        <v>0</v>
      </c>
      <c r="K391" s="690">
        <f t="shared" si="628"/>
        <v>0</v>
      </c>
      <c r="L391" s="690">
        <f t="shared" si="628"/>
        <v>0</v>
      </c>
      <c r="M391" s="690">
        <f t="shared" si="628"/>
        <v>0</v>
      </c>
      <c r="N391" s="690">
        <f t="shared" si="628"/>
        <v>0</v>
      </c>
      <c r="O391" s="683">
        <f>SUM(C391:N391)</f>
        <v>0</v>
      </c>
      <c r="P391" s="690">
        <f t="shared" ref="P391:AA391" si="629">P389*P390</f>
        <v>0</v>
      </c>
      <c r="Q391" s="690">
        <f t="shared" si="629"/>
        <v>0</v>
      </c>
      <c r="R391" s="690">
        <f t="shared" si="629"/>
        <v>0</v>
      </c>
      <c r="S391" s="690">
        <f t="shared" si="629"/>
        <v>0</v>
      </c>
      <c r="T391" s="690">
        <f t="shared" si="629"/>
        <v>0</v>
      </c>
      <c r="U391" s="690">
        <f t="shared" si="629"/>
        <v>0</v>
      </c>
      <c r="V391" s="690">
        <f t="shared" si="629"/>
        <v>0</v>
      </c>
      <c r="W391" s="690">
        <f t="shared" si="629"/>
        <v>0</v>
      </c>
      <c r="X391" s="690">
        <f t="shared" si="629"/>
        <v>0</v>
      </c>
      <c r="Y391" s="690">
        <f t="shared" si="629"/>
        <v>0</v>
      </c>
      <c r="Z391" s="690">
        <f t="shared" si="629"/>
        <v>0</v>
      </c>
      <c r="AA391" s="690">
        <f t="shared" si="629"/>
        <v>0</v>
      </c>
      <c r="AB391" s="690">
        <f>SUM(P391:AA391)</f>
        <v>0</v>
      </c>
      <c r="AC391" s="690">
        <f t="shared" ref="AC391:AJ391" si="630">AC389*AC390</f>
        <v>0</v>
      </c>
      <c r="AD391" s="690">
        <f t="shared" si="630"/>
        <v>0</v>
      </c>
      <c r="AE391" s="690">
        <f t="shared" si="630"/>
        <v>0</v>
      </c>
      <c r="AF391" s="690">
        <f t="shared" si="630"/>
        <v>0</v>
      </c>
      <c r="AG391" s="690">
        <f t="shared" si="630"/>
        <v>0</v>
      </c>
      <c r="AH391" s="690">
        <f t="shared" si="630"/>
        <v>0</v>
      </c>
      <c r="AI391" s="690">
        <f t="shared" si="630"/>
        <v>0</v>
      </c>
      <c r="AJ391" s="690">
        <f t="shared" si="630"/>
        <v>0</v>
      </c>
    </row>
    <row r="392" spans="1:36" s="674" customFormat="1" ht="13.15" customHeight="1" x14ac:dyDescent="0.2">
      <c r="A392" s="680" t="s">
        <v>249</v>
      </c>
      <c r="B392" s="681"/>
      <c r="C392" s="686">
        <f>C386</f>
        <v>1</v>
      </c>
      <c r="D392" s="686">
        <f t="shared" ref="D392:AJ392" si="631">D386</f>
        <v>1</v>
      </c>
      <c r="E392" s="686">
        <f t="shared" si="631"/>
        <v>1</v>
      </c>
      <c r="F392" s="686">
        <f t="shared" si="631"/>
        <v>1</v>
      </c>
      <c r="G392" s="686">
        <f t="shared" si="631"/>
        <v>1</v>
      </c>
      <c r="H392" s="686">
        <f t="shared" si="631"/>
        <v>1</v>
      </c>
      <c r="I392" s="686">
        <f t="shared" si="631"/>
        <v>1</v>
      </c>
      <c r="J392" s="686">
        <f t="shared" si="631"/>
        <v>1</v>
      </c>
      <c r="K392" s="686">
        <f t="shared" si="631"/>
        <v>1</v>
      </c>
      <c r="L392" s="686">
        <f t="shared" si="631"/>
        <v>1</v>
      </c>
      <c r="M392" s="686">
        <f t="shared" si="631"/>
        <v>1</v>
      </c>
      <c r="N392" s="686">
        <f t="shared" si="631"/>
        <v>1</v>
      </c>
      <c r="O392" s="686">
        <f t="shared" si="631"/>
        <v>1</v>
      </c>
      <c r="P392" s="686">
        <f t="shared" si="631"/>
        <v>1</v>
      </c>
      <c r="Q392" s="686">
        <f t="shared" si="631"/>
        <v>1</v>
      </c>
      <c r="R392" s="686">
        <f t="shared" si="631"/>
        <v>1</v>
      </c>
      <c r="S392" s="686">
        <f t="shared" si="631"/>
        <v>1</v>
      </c>
      <c r="T392" s="686">
        <f t="shared" si="631"/>
        <v>1</v>
      </c>
      <c r="U392" s="686">
        <f t="shared" si="631"/>
        <v>1</v>
      </c>
      <c r="V392" s="686">
        <f t="shared" si="631"/>
        <v>1</v>
      </c>
      <c r="W392" s="686">
        <f t="shared" si="631"/>
        <v>1</v>
      </c>
      <c r="X392" s="686">
        <f t="shared" si="631"/>
        <v>1</v>
      </c>
      <c r="Y392" s="686">
        <f t="shared" si="631"/>
        <v>1</v>
      </c>
      <c r="Z392" s="686">
        <f t="shared" si="631"/>
        <v>1</v>
      </c>
      <c r="AA392" s="686">
        <f t="shared" si="631"/>
        <v>1</v>
      </c>
      <c r="AB392" s="686">
        <f t="shared" si="631"/>
        <v>1</v>
      </c>
      <c r="AC392" s="686">
        <f t="shared" si="631"/>
        <v>1</v>
      </c>
      <c r="AD392" s="686">
        <f t="shared" si="631"/>
        <v>1</v>
      </c>
      <c r="AE392" s="686">
        <f t="shared" si="631"/>
        <v>1</v>
      </c>
      <c r="AF392" s="686">
        <f t="shared" si="631"/>
        <v>1</v>
      </c>
      <c r="AG392" s="686">
        <f t="shared" si="631"/>
        <v>1</v>
      </c>
      <c r="AH392" s="686">
        <f t="shared" si="631"/>
        <v>1</v>
      </c>
      <c r="AI392" s="686">
        <f t="shared" si="631"/>
        <v>1</v>
      </c>
      <c r="AJ392" s="686">
        <f t="shared" si="631"/>
        <v>1</v>
      </c>
    </row>
    <row r="393" spans="1:36" s="674" customFormat="1" ht="13.15" customHeight="1" x14ac:dyDescent="0.2">
      <c r="A393" s="680" t="s">
        <v>255</v>
      </c>
      <c r="B393" s="681"/>
      <c r="C393" s="690">
        <f t="shared" ref="C393:N393" si="632">C391*C392</f>
        <v>0</v>
      </c>
      <c r="D393" s="690">
        <f t="shared" si="632"/>
        <v>0</v>
      </c>
      <c r="E393" s="690">
        <f t="shared" si="632"/>
        <v>0</v>
      </c>
      <c r="F393" s="690">
        <f t="shared" si="632"/>
        <v>0</v>
      </c>
      <c r="G393" s="690">
        <f t="shared" si="632"/>
        <v>0</v>
      </c>
      <c r="H393" s="690">
        <f t="shared" si="632"/>
        <v>0</v>
      </c>
      <c r="I393" s="690">
        <f t="shared" si="632"/>
        <v>0</v>
      </c>
      <c r="J393" s="690">
        <f t="shared" si="632"/>
        <v>0</v>
      </c>
      <c r="K393" s="690">
        <f t="shared" si="632"/>
        <v>0</v>
      </c>
      <c r="L393" s="690">
        <f t="shared" si="632"/>
        <v>0</v>
      </c>
      <c r="M393" s="690">
        <f t="shared" si="632"/>
        <v>0</v>
      </c>
      <c r="N393" s="690">
        <f t="shared" si="632"/>
        <v>0</v>
      </c>
      <c r="O393" s="691">
        <f>SUM(C393:N393)</f>
        <v>0</v>
      </c>
      <c r="P393" s="690">
        <f t="shared" ref="P393:AA393" si="633">P391*P392</f>
        <v>0</v>
      </c>
      <c r="Q393" s="690">
        <f t="shared" si="633"/>
        <v>0</v>
      </c>
      <c r="R393" s="690">
        <f t="shared" si="633"/>
        <v>0</v>
      </c>
      <c r="S393" s="690">
        <f t="shared" si="633"/>
        <v>0</v>
      </c>
      <c r="T393" s="690">
        <f t="shared" si="633"/>
        <v>0</v>
      </c>
      <c r="U393" s="690">
        <f t="shared" si="633"/>
        <v>0</v>
      </c>
      <c r="V393" s="690">
        <f t="shared" si="633"/>
        <v>0</v>
      </c>
      <c r="W393" s="690">
        <f t="shared" si="633"/>
        <v>0</v>
      </c>
      <c r="X393" s="690">
        <f t="shared" si="633"/>
        <v>0</v>
      </c>
      <c r="Y393" s="690">
        <f t="shared" si="633"/>
        <v>0</v>
      </c>
      <c r="Z393" s="690">
        <f t="shared" si="633"/>
        <v>0</v>
      </c>
      <c r="AA393" s="690">
        <f t="shared" si="633"/>
        <v>0</v>
      </c>
      <c r="AB393" s="691">
        <f>SUM(P393:AA393)</f>
        <v>0</v>
      </c>
      <c r="AC393" s="690">
        <f t="shared" ref="AC393:AJ393" si="634">AC391*AC392</f>
        <v>0</v>
      </c>
      <c r="AD393" s="690">
        <f t="shared" si="634"/>
        <v>0</v>
      </c>
      <c r="AE393" s="690">
        <f t="shared" si="634"/>
        <v>0</v>
      </c>
      <c r="AF393" s="690">
        <f t="shared" si="634"/>
        <v>0</v>
      </c>
      <c r="AG393" s="690">
        <f t="shared" si="634"/>
        <v>0</v>
      </c>
      <c r="AH393" s="690">
        <f t="shared" si="634"/>
        <v>0</v>
      </c>
      <c r="AI393" s="690">
        <f t="shared" si="634"/>
        <v>0</v>
      </c>
      <c r="AJ393" s="690">
        <f t="shared" si="634"/>
        <v>0</v>
      </c>
    </row>
    <row r="394" spans="1:36" s="674" customFormat="1" ht="13.15" customHeight="1" x14ac:dyDescent="0.2">
      <c r="B394" s="681"/>
      <c r="C394" s="682"/>
      <c r="D394" s="682"/>
      <c r="E394" s="682"/>
      <c r="F394" s="682"/>
      <c r="G394" s="682"/>
      <c r="H394" s="682"/>
      <c r="I394" s="682"/>
      <c r="J394" s="682"/>
      <c r="K394" s="682"/>
      <c r="L394" s="682"/>
      <c r="M394" s="682"/>
      <c r="N394" s="682"/>
      <c r="O394" s="683"/>
      <c r="P394" s="682"/>
      <c r="Q394" s="682"/>
      <c r="R394" s="682"/>
      <c r="S394" s="682"/>
      <c r="T394" s="682"/>
      <c r="U394" s="682"/>
      <c r="V394" s="682"/>
      <c r="W394" s="682"/>
      <c r="X394" s="682"/>
      <c r="Y394" s="682"/>
      <c r="Z394" s="682"/>
      <c r="AA394" s="682"/>
      <c r="AB394" s="683"/>
      <c r="AC394" s="683"/>
      <c r="AD394" s="683"/>
      <c r="AE394" s="683"/>
    </row>
    <row r="395" spans="1:36" s="674" customFormat="1" ht="13.15" customHeight="1" x14ac:dyDescent="0.2">
      <c r="A395" s="680" t="s">
        <v>256</v>
      </c>
      <c r="B395" s="681"/>
      <c r="C395" s="689">
        <v>0</v>
      </c>
      <c r="D395" s="689">
        <v>0</v>
      </c>
      <c r="E395" s="689">
        <v>0</v>
      </c>
      <c r="F395" s="689">
        <v>0</v>
      </c>
      <c r="G395" s="689">
        <v>0</v>
      </c>
      <c r="H395" s="689">
        <v>0</v>
      </c>
      <c r="I395" s="689">
        <v>0</v>
      </c>
      <c r="J395" s="689">
        <v>0</v>
      </c>
      <c r="K395" s="689">
        <v>0</v>
      </c>
      <c r="L395" s="689">
        <v>0</v>
      </c>
      <c r="M395" s="689">
        <v>0</v>
      </c>
      <c r="N395" s="689">
        <v>0</v>
      </c>
      <c r="O395" s="690">
        <f>N395</f>
        <v>0</v>
      </c>
      <c r="P395" s="689">
        <f>N395</f>
        <v>0</v>
      </c>
      <c r="Q395" s="689">
        <f t="shared" ref="Q395:AB395" si="635">P395</f>
        <v>0</v>
      </c>
      <c r="R395" s="689">
        <f t="shared" si="635"/>
        <v>0</v>
      </c>
      <c r="S395" s="689">
        <f t="shared" si="635"/>
        <v>0</v>
      </c>
      <c r="T395" s="689">
        <f t="shared" si="635"/>
        <v>0</v>
      </c>
      <c r="U395" s="689">
        <f t="shared" si="635"/>
        <v>0</v>
      </c>
      <c r="V395" s="689">
        <f t="shared" si="635"/>
        <v>0</v>
      </c>
      <c r="W395" s="689">
        <f t="shared" si="635"/>
        <v>0</v>
      </c>
      <c r="X395" s="689">
        <f t="shared" si="635"/>
        <v>0</v>
      </c>
      <c r="Y395" s="689">
        <f t="shared" si="635"/>
        <v>0</v>
      </c>
      <c r="Z395" s="689">
        <f t="shared" si="635"/>
        <v>0</v>
      </c>
      <c r="AA395" s="689">
        <f t="shared" si="635"/>
        <v>0</v>
      </c>
      <c r="AB395" s="690">
        <f t="shared" si="635"/>
        <v>0</v>
      </c>
      <c r="AC395" s="689">
        <f>AA395</f>
        <v>0</v>
      </c>
      <c r="AD395" s="689">
        <f t="shared" ref="AD395:AJ395" si="636">AC395</f>
        <v>0</v>
      </c>
      <c r="AE395" s="689">
        <f t="shared" si="636"/>
        <v>0</v>
      </c>
      <c r="AF395" s="689">
        <f t="shared" si="636"/>
        <v>0</v>
      </c>
      <c r="AG395" s="689">
        <f t="shared" si="636"/>
        <v>0</v>
      </c>
      <c r="AH395" s="689">
        <f t="shared" si="636"/>
        <v>0</v>
      </c>
      <c r="AI395" s="689">
        <f t="shared" si="636"/>
        <v>0</v>
      </c>
      <c r="AJ395" s="689">
        <f t="shared" si="636"/>
        <v>0</v>
      </c>
    </row>
    <row r="396" spans="1:36" s="674" customFormat="1" ht="13.15" customHeight="1" x14ac:dyDescent="0.2">
      <c r="A396" s="680" t="s">
        <v>252</v>
      </c>
      <c r="B396" s="681"/>
      <c r="C396" s="689">
        <f>300/12</f>
        <v>25</v>
      </c>
      <c r="D396" s="689">
        <f t="shared" ref="D396:N396" si="637">300/12</f>
        <v>25</v>
      </c>
      <c r="E396" s="689">
        <f t="shared" si="637"/>
        <v>25</v>
      </c>
      <c r="F396" s="689">
        <f t="shared" si="637"/>
        <v>25</v>
      </c>
      <c r="G396" s="689">
        <f t="shared" si="637"/>
        <v>25</v>
      </c>
      <c r="H396" s="689">
        <f t="shared" si="637"/>
        <v>25</v>
      </c>
      <c r="I396" s="689">
        <f t="shared" si="637"/>
        <v>25</v>
      </c>
      <c r="J396" s="689">
        <f t="shared" si="637"/>
        <v>25</v>
      </c>
      <c r="K396" s="689">
        <f t="shared" si="637"/>
        <v>25</v>
      </c>
      <c r="L396" s="689">
        <f t="shared" si="637"/>
        <v>25</v>
      </c>
      <c r="M396" s="689">
        <f t="shared" si="637"/>
        <v>25</v>
      </c>
      <c r="N396" s="689">
        <f t="shared" si="637"/>
        <v>25</v>
      </c>
      <c r="O396" s="683">
        <f>SUM(C396:N396)</f>
        <v>300</v>
      </c>
      <c r="P396" s="689">
        <f>300/12</f>
        <v>25</v>
      </c>
      <c r="Q396" s="689">
        <f t="shared" ref="Q396:AA396" si="638">300/12</f>
        <v>25</v>
      </c>
      <c r="R396" s="689">
        <f t="shared" si="638"/>
        <v>25</v>
      </c>
      <c r="S396" s="689">
        <f t="shared" si="638"/>
        <v>25</v>
      </c>
      <c r="T396" s="689">
        <f t="shared" si="638"/>
        <v>25</v>
      </c>
      <c r="U396" s="689">
        <f t="shared" si="638"/>
        <v>25</v>
      </c>
      <c r="V396" s="689">
        <f t="shared" si="638"/>
        <v>25</v>
      </c>
      <c r="W396" s="689">
        <f t="shared" si="638"/>
        <v>25</v>
      </c>
      <c r="X396" s="689">
        <f t="shared" si="638"/>
        <v>25</v>
      </c>
      <c r="Y396" s="689">
        <f t="shared" si="638"/>
        <v>25</v>
      </c>
      <c r="Z396" s="689">
        <f t="shared" si="638"/>
        <v>25</v>
      </c>
      <c r="AA396" s="689">
        <f t="shared" si="638"/>
        <v>25</v>
      </c>
      <c r="AB396" s="683">
        <f>SUM(P396:AA396)</f>
        <v>300</v>
      </c>
      <c r="AC396" s="689">
        <v>300</v>
      </c>
      <c r="AD396" s="689">
        <v>300</v>
      </c>
      <c r="AE396" s="689">
        <v>300</v>
      </c>
      <c r="AF396" s="689">
        <v>300</v>
      </c>
      <c r="AG396" s="689">
        <v>300</v>
      </c>
      <c r="AH396" s="689">
        <v>300</v>
      </c>
      <c r="AI396" s="689">
        <v>300</v>
      </c>
      <c r="AJ396" s="689">
        <v>300</v>
      </c>
    </row>
    <row r="397" spans="1:36" s="674" customFormat="1" ht="13.15" customHeight="1" x14ac:dyDescent="0.2">
      <c r="A397" s="680" t="s">
        <v>254</v>
      </c>
      <c r="B397" s="681"/>
      <c r="C397" s="690">
        <f t="shared" ref="C397:N397" si="639">C395*C396</f>
        <v>0</v>
      </c>
      <c r="D397" s="690">
        <f t="shared" si="639"/>
        <v>0</v>
      </c>
      <c r="E397" s="690">
        <f t="shared" si="639"/>
        <v>0</v>
      </c>
      <c r="F397" s="690">
        <f t="shared" si="639"/>
        <v>0</v>
      </c>
      <c r="G397" s="690">
        <f t="shared" si="639"/>
        <v>0</v>
      </c>
      <c r="H397" s="690">
        <f t="shared" si="639"/>
        <v>0</v>
      </c>
      <c r="I397" s="690">
        <f t="shared" si="639"/>
        <v>0</v>
      </c>
      <c r="J397" s="690">
        <f t="shared" si="639"/>
        <v>0</v>
      </c>
      <c r="K397" s="690">
        <f t="shared" si="639"/>
        <v>0</v>
      </c>
      <c r="L397" s="690">
        <f t="shared" si="639"/>
        <v>0</v>
      </c>
      <c r="M397" s="690">
        <f t="shared" si="639"/>
        <v>0</v>
      </c>
      <c r="N397" s="690">
        <f t="shared" si="639"/>
        <v>0</v>
      </c>
      <c r="O397" s="683">
        <f>SUM(C397:N397)</f>
        <v>0</v>
      </c>
      <c r="P397" s="690">
        <f t="shared" ref="P397:AA397" si="640">P395*P396</f>
        <v>0</v>
      </c>
      <c r="Q397" s="690">
        <f t="shared" si="640"/>
        <v>0</v>
      </c>
      <c r="R397" s="690">
        <f t="shared" si="640"/>
        <v>0</v>
      </c>
      <c r="S397" s="690">
        <f t="shared" si="640"/>
        <v>0</v>
      </c>
      <c r="T397" s="690">
        <f t="shared" si="640"/>
        <v>0</v>
      </c>
      <c r="U397" s="690">
        <f t="shared" si="640"/>
        <v>0</v>
      </c>
      <c r="V397" s="690">
        <f t="shared" si="640"/>
        <v>0</v>
      </c>
      <c r="W397" s="690">
        <f t="shared" si="640"/>
        <v>0</v>
      </c>
      <c r="X397" s="690">
        <f t="shared" si="640"/>
        <v>0</v>
      </c>
      <c r="Y397" s="690">
        <f t="shared" si="640"/>
        <v>0</v>
      </c>
      <c r="Z397" s="690">
        <f t="shared" si="640"/>
        <v>0</v>
      </c>
      <c r="AA397" s="690">
        <f t="shared" si="640"/>
        <v>0</v>
      </c>
      <c r="AB397" s="683">
        <f>SUM(P397:AA397)</f>
        <v>0</v>
      </c>
      <c r="AC397" s="690">
        <f t="shared" ref="AC397:AJ397" si="641">AC395*AC396</f>
        <v>0</v>
      </c>
      <c r="AD397" s="690">
        <f t="shared" si="641"/>
        <v>0</v>
      </c>
      <c r="AE397" s="690">
        <f t="shared" si="641"/>
        <v>0</v>
      </c>
      <c r="AF397" s="690">
        <f t="shared" si="641"/>
        <v>0</v>
      </c>
      <c r="AG397" s="690">
        <f t="shared" si="641"/>
        <v>0</v>
      </c>
      <c r="AH397" s="690">
        <f t="shared" si="641"/>
        <v>0</v>
      </c>
      <c r="AI397" s="690">
        <f t="shared" si="641"/>
        <v>0</v>
      </c>
      <c r="AJ397" s="690">
        <f t="shared" si="641"/>
        <v>0</v>
      </c>
    </row>
    <row r="398" spans="1:36" s="674" customFormat="1" ht="13.15" customHeight="1" x14ac:dyDescent="0.2">
      <c r="A398" s="680" t="s">
        <v>249</v>
      </c>
      <c r="B398" s="681"/>
      <c r="C398" s="686">
        <f>C386</f>
        <v>1</v>
      </c>
      <c r="D398" s="686">
        <f t="shared" ref="D398:AJ398" si="642">D386</f>
        <v>1</v>
      </c>
      <c r="E398" s="686">
        <f t="shared" si="642"/>
        <v>1</v>
      </c>
      <c r="F398" s="686">
        <f t="shared" si="642"/>
        <v>1</v>
      </c>
      <c r="G398" s="686">
        <f t="shared" si="642"/>
        <v>1</v>
      </c>
      <c r="H398" s="686">
        <f t="shared" si="642"/>
        <v>1</v>
      </c>
      <c r="I398" s="686">
        <f t="shared" si="642"/>
        <v>1</v>
      </c>
      <c r="J398" s="686">
        <f t="shared" si="642"/>
        <v>1</v>
      </c>
      <c r="K398" s="686">
        <f t="shared" si="642"/>
        <v>1</v>
      </c>
      <c r="L398" s="686">
        <f t="shared" si="642"/>
        <v>1</v>
      </c>
      <c r="M398" s="686">
        <f t="shared" si="642"/>
        <v>1</v>
      </c>
      <c r="N398" s="686">
        <f t="shared" si="642"/>
        <v>1</v>
      </c>
      <c r="O398" s="686">
        <f t="shared" si="642"/>
        <v>1</v>
      </c>
      <c r="P398" s="686">
        <f t="shared" si="642"/>
        <v>1</v>
      </c>
      <c r="Q398" s="686">
        <f t="shared" si="642"/>
        <v>1</v>
      </c>
      <c r="R398" s="686">
        <f t="shared" si="642"/>
        <v>1</v>
      </c>
      <c r="S398" s="686">
        <f t="shared" si="642"/>
        <v>1</v>
      </c>
      <c r="T398" s="686">
        <f t="shared" si="642"/>
        <v>1</v>
      </c>
      <c r="U398" s="686">
        <f t="shared" si="642"/>
        <v>1</v>
      </c>
      <c r="V398" s="686">
        <f t="shared" si="642"/>
        <v>1</v>
      </c>
      <c r="W398" s="686">
        <f t="shared" si="642"/>
        <v>1</v>
      </c>
      <c r="X398" s="686">
        <f t="shared" si="642"/>
        <v>1</v>
      </c>
      <c r="Y398" s="686">
        <f t="shared" si="642"/>
        <v>1</v>
      </c>
      <c r="Z398" s="686">
        <f t="shared" si="642"/>
        <v>1</v>
      </c>
      <c r="AA398" s="686">
        <f t="shared" si="642"/>
        <v>1</v>
      </c>
      <c r="AB398" s="686">
        <f t="shared" si="642"/>
        <v>1</v>
      </c>
      <c r="AC398" s="686">
        <f t="shared" si="642"/>
        <v>1</v>
      </c>
      <c r="AD398" s="686">
        <f t="shared" si="642"/>
        <v>1</v>
      </c>
      <c r="AE398" s="686">
        <f t="shared" si="642"/>
        <v>1</v>
      </c>
      <c r="AF398" s="686">
        <f t="shared" si="642"/>
        <v>1</v>
      </c>
      <c r="AG398" s="686">
        <f t="shared" si="642"/>
        <v>1</v>
      </c>
      <c r="AH398" s="686">
        <f t="shared" si="642"/>
        <v>1</v>
      </c>
      <c r="AI398" s="686">
        <f t="shared" si="642"/>
        <v>1</v>
      </c>
      <c r="AJ398" s="686">
        <f t="shared" si="642"/>
        <v>1</v>
      </c>
    </row>
    <row r="399" spans="1:36" s="674" customFormat="1" ht="13.15" customHeight="1" x14ac:dyDescent="0.2">
      <c r="A399" s="680" t="s">
        <v>255</v>
      </c>
      <c r="B399" s="681"/>
      <c r="C399" s="690">
        <f t="shared" ref="C399:N399" si="643">C397*C398</f>
        <v>0</v>
      </c>
      <c r="D399" s="690">
        <f t="shared" si="643"/>
        <v>0</v>
      </c>
      <c r="E399" s="690">
        <f t="shared" si="643"/>
        <v>0</v>
      </c>
      <c r="F399" s="690">
        <f t="shared" si="643"/>
        <v>0</v>
      </c>
      <c r="G399" s="690">
        <f t="shared" si="643"/>
        <v>0</v>
      </c>
      <c r="H399" s="690">
        <f t="shared" si="643"/>
        <v>0</v>
      </c>
      <c r="I399" s="690">
        <f t="shared" si="643"/>
        <v>0</v>
      </c>
      <c r="J399" s="690">
        <f t="shared" si="643"/>
        <v>0</v>
      </c>
      <c r="K399" s="690">
        <f t="shared" si="643"/>
        <v>0</v>
      </c>
      <c r="L399" s="690">
        <f t="shared" si="643"/>
        <v>0</v>
      </c>
      <c r="M399" s="690">
        <f t="shared" si="643"/>
        <v>0</v>
      </c>
      <c r="N399" s="690">
        <f t="shared" si="643"/>
        <v>0</v>
      </c>
      <c r="O399" s="691">
        <f>SUM(C399:N399)</f>
        <v>0</v>
      </c>
      <c r="P399" s="690">
        <f t="shared" ref="P399:AA399" si="644">P397*P398</f>
        <v>0</v>
      </c>
      <c r="Q399" s="690">
        <f t="shared" si="644"/>
        <v>0</v>
      </c>
      <c r="R399" s="690">
        <f t="shared" si="644"/>
        <v>0</v>
      </c>
      <c r="S399" s="690">
        <f t="shared" si="644"/>
        <v>0</v>
      </c>
      <c r="T399" s="690">
        <f t="shared" si="644"/>
        <v>0</v>
      </c>
      <c r="U399" s="690">
        <f t="shared" si="644"/>
        <v>0</v>
      </c>
      <c r="V399" s="690">
        <f t="shared" si="644"/>
        <v>0</v>
      </c>
      <c r="W399" s="690">
        <f t="shared" si="644"/>
        <v>0</v>
      </c>
      <c r="X399" s="690">
        <f t="shared" si="644"/>
        <v>0</v>
      </c>
      <c r="Y399" s="690">
        <f t="shared" si="644"/>
        <v>0</v>
      </c>
      <c r="Z399" s="690">
        <f t="shared" si="644"/>
        <v>0</v>
      </c>
      <c r="AA399" s="690">
        <f t="shared" si="644"/>
        <v>0</v>
      </c>
      <c r="AB399" s="691">
        <f>SUM(P399:AA399)</f>
        <v>0</v>
      </c>
      <c r="AC399" s="690">
        <f t="shared" ref="AC399:AJ399" si="645">AC397*AC398</f>
        <v>0</v>
      </c>
      <c r="AD399" s="690">
        <f t="shared" si="645"/>
        <v>0</v>
      </c>
      <c r="AE399" s="690">
        <f t="shared" si="645"/>
        <v>0</v>
      </c>
      <c r="AF399" s="690">
        <f t="shared" si="645"/>
        <v>0</v>
      </c>
      <c r="AG399" s="690">
        <f t="shared" si="645"/>
        <v>0</v>
      </c>
      <c r="AH399" s="690">
        <f t="shared" si="645"/>
        <v>0</v>
      </c>
      <c r="AI399" s="690">
        <f t="shared" si="645"/>
        <v>0</v>
      </c>
      <c r="AJ399" s="690">
        <f t="shared" si="645"/>
        <v>0</v>
      </c>
    </row>
    <row r="400" spans="1:36" s="674" customFormat="1" ht="13.15" customHeight="1" x14ac:dyDescent="0.2">
      <c r="A400" s="680"/>
      <c r="B400" s="681"/>
      <c r="C400" s="682"/>
      <c r="D400" s="682"/>
      <c r="E400" s="682"/>
      <c r="F400" s="682"/>
      <c r="G400" s="682"/>
      <c r="H400" s="682"/>
      <c r="I400" s="682"/>
      <c r="J400" s="682"/>
      <c r="K400" s="682"/>
      <c r="L400" s="682"/>
      <c r="M400" s="682"/>
      <c r="N400" s="682"/>
      <c r="O400" s="683"/>
      <c r="P400" s="682"/>
      <c r="Q400" s="682"/>
      <c r="R400" s="682"/>
      <c r="S400" s="682"/>
      <c r="T400" s="682"/>
      <c r="U400" s="682"/>
      <c r="V400" s="682"/>
      <c r="W400" s="682"/>
      <c r="X400" s="682"/>
      <c r="Y400" s="682"/>
      <c r="Z400" s="682"/>
      <c r="AA400" s="682"/>
      <c r="AB400" s="683"/>
      <c r="AC400" s="683"/>
      <c r="AD400" s="683"/>
      <c r="AE400" s="683"/>
    </row>
    <row r="401" spans="1:37" s="684" customFormat="1" ht="13.15" customHeight="1" x14ac:dyDescent="0.2">
      <c r="A401" s="676" t="s">
        <v>257</v>
      </c>
      <c r="B401" s="677"/>
      <c r="C401" s="694">
        <f>C387+C393+C399</f>
        <v>0</v>
      </c>
      <c r="D401" s="694">
        <f t="shared" ref="D401:N401" si="646">D387+D393+D399</f>
        <v>0</v>
      </c>
      <c r="E401" s="694">
        <f t="shared" si="646"/>
        <v>0</v>
      </c>
      <c r="F401" s="694">
        <f t="shared" si="646"/>
        <v>0</v>
      </c>
      <c r="G401" s="694">
        <f t="shared" si="646"/>
        <v>0</v>
      </c>
      <c r="H401" s="694">
        <f t="shared" si="646"/>
        <v>0</v>
      </c>
      <c r="I401" s="694">
        <f t="shared" si="646"/>
        <v>0</v>
      </c>
      <c r="J401" s="694">
        <f t="shared" si="646"/>
        <v>0</v>
      </c>
      <c r="K401" s="694">
        <f t="shared" si="646"/>
        <v>0</v>
      </c>
      <c r="L401" s="694">
        <f t="shared" si="646"/>
        <v>0</v>
      </c>
      <c r="M401" s="694">
        <f t="shared" si="646"/>
        <v>0</v>
      </c>
      <c r="N401" s="694">
        <f t="shared" si="646"/>
        <v>0</v>
      </c>
      <c r="O401" s="679">
        <f>SUM(C401:N401)</f>
        <v>0</v>
      </c>
      <c r="P401" s="694">
        <f t="shared" ref="P401:AA401" si="647">P387+P393+P399</f>
        <v>0</v>
      </c>
      <c r="Q401" s="694">
        <f t="shared" si="647"/>
        <v>0</v>
      </c>
      <c r="R401" s="694">
        <f t="shared" si="647"/>
        <v>0</v>
      </c>
      <c r="S401" s="694">
        <f t="shared" si="647"/>
        <v>0</v>
      </c>
      <c r="T401" s="694">
        <f t="shared" si="647"/>
        <v>0</v>
      </c>
      <c r="U401" s="694">
        <f t="shared" si="647"/>
        <v>0</v>
      </c>
      <c r="V401" s="694">
        <f t="shared" si="647"/>
        <v>0</v>
      </c>
      <c r="W401" s="694">
        <f t="shared" si="647"/>
        <v>0</v>
      </c>
      <c r="X401" s="694">
        <f t="shared" si="647"/>
        <v>0</v>
      </c>
      <c r="Y401" s="694">
        <f t="shared" si="647"/>
        <v>0</v>
      </c>
      <c r="Z401" s="694">
        <f t="shared" si="647"/>
        <v>0</v>
      </c>
      <c r="AA401" s="694">
        <f t="shared" si="647"/>
        <v>0</v>
      </c>
      <c r="AB401" s="694">
        <f>SUM(P401:AA401)</f>
        <v>0</v>
      </c>
      <c r="AC401" s="694">
        <f t="shared" ref="AC401:AJ401" si="648">AC387+AC393+AC399</f>
        <v>0</v>
      </c>
      <c r="AD401" s="694">
        <f t="shared" si="648"/>
        <v>30.958200000000009</v>
      </c>
      <c r="AE401" s="694">
        <f t="shared" si="648"/>
        <v>95.660838000000027</v>
      </c>
      <c r="AF401" s="694">
        <f t="shared" si="648"/>
        <v>195.14810952000005</v>
      </c>
      <c r="AG401" s="694">
        <f t="shared" si="648"/>
        <v>394.19918123040009</v>
      </c>
      <c r="AH401" s="694">
        <f t="shared" si="648"/>
        <v>591.29877184560007</v>
      </c>
      <c r="AI401" s="694">
        <f t="shared" si="648"/>
        <v>711.74852166599999</v>
      </c>
      <c r="AJ401" s="694">
        <f t="shared" si="648"/>
        <v>821.24829422999983</v>
      </c>
    </row>
    <row r="402" spans="1:37" s="674" customFormat="1" ht="13.15" customHeight="1" x14ac:dyDescent="0.2">
      <c r="A402" s="680"/>
      <c r="B402" s="681"/>
      <c r="C402" s="682"/>
      <c r="D402" s="682"/>
      <c r="E402" s="682"/>
      <c r="F402" s="682"/>
      <c r="G402" s="682"/>
      <c r="H402" s="682"/>
      <c r="I402" s="682"/>
      <c r="J402" s="682"/>
      <c r="K402" s="682"/>
      <c r="L402" s="682"/>
      <c r="M402" s="682"/>
      <c r="N402" s="682"/>
      <c r="O402" s="683"/>
      <c r="P402" s="682"/>
      <c r="Q402" s="682"/>
      <c r="R402" s="682"/>
      <c r="S402" s="682"/>
      <c r="T402" s="682"/>
      <c r="U402" s="682"/>
      <c r="V402" s="682"/>
      <c r="W402" s="682"/>
      <c r="X402" s="682"/>
      <c r="Y402" s="682"/>
      <c r="Z402" s="682"/>
      <c r="AA402" s="682"/>
      <c r="AB402" s="683"/>
      <c r="AC402" s="683"/>
      <c r="AD402" s="683"/>
      <c r="AE402" s="683"/>
    </row>
    <row r="403" spans="1:37" s="674" customFormat="1" ht="13.15" customHeight="1" x14ac:dyDescent="0.2">
      <c r="A403" s="680" t="s">
        <v>258</v>
      </c>
      <c r="B403" s="681"/>
      <c r="C403" s="767">
        <f>C$25</f>
        <v>300</v>
      </c>
      <c r="D403" s="767">
        <f t="shared" ref="D403:AJ403" si="649">D$25</f>
        <v>300</v>
      </c>
      <c r="E403" s="767">
        <f t="shared" si="649"/>
        <v>300</v>
      </c>
      <c r="F403" s="767">
        <f t="shared" si="649"/>
        <v>300</v>
      </c>
      <c r="G403" s="767">
        <f t="shared" si="649"/>
        <v>300</v>
      </c>
      <c r="H403" s="767">
        <f t="shared" si="649"/>
        <v>300</v>
      </c>
      <c r="I403" s="767">
        <f t="shared" si="649"/>
        <v>300</v>
      </c>
      <c r="J403" s="767">
        <f t="shared" si="649"/>
        <v>300</v>
      </c>
      <c r="K403" s="767">
        <f t="shared" si="649"/>
        <v>300</v>
      </c>
      <c r="L403" s="767">
        <f t="shared" si="649"/>
        <v>300</v>
      </c>
      <c r="M403" s="767">
        <f t="shared" si="649"/>
        <v>300</v>
      </c>
      <c r="N403" s="767">
        <f t="shared" si="649"/>
        <v>300</v>
      </c>
      <c r="O403" s="767">
        <f t="shared" si="649"/>
        <v>300</v>
      </c>
      <c r="P403" s="767">
        <f t="shared" si="649"/>
        <v>300</v>
      </c>
      <c r="Q403" s="767">
        <f t="shared" si="649"/>
        <v>300</v>
      </c>
      <c r="R403" s="767">
        <f t="shared" si="649"/>
        <v>300</v>
      </c>
      <c r="S403" s="767">
        <f t="shared" si="649"/>
        <v>300</v>
      </c>
      <c r="T403" s="767">
        <f t="shared" si="649"/>
        <v>300</v>
      </c>
      <c r="U403" s="767">
        <f t="shared" si="649"/>
        <v>300</v>
      </c>
      <c r="V403" s="767">
        <f t="shared" si="649"/>
        <v>300</v>
      </c>
      <c r="W403" s="767">
        <f t="shared" si="649"/>
        <v>300</v>
      </c>
      <c r="X403" s="767">
        <f t="shared" si="649"/>
        <v>300</v>
      </c>
      <c r="Y403" s="767">
        <f t="shared" si="649"/>
        <v>300</v>
      </c>
      <c r="Z403" s="767">
        <f t="shared" si="649"/>
        <v>300</v>
      </c>
      <c r="AA403" s="767">
        <f t="shared" si="649"/>
        <v>300</v>
      </c>
      <c r="AB403" s="767">
        <f t="shared" si="649"/>
        <v>300</v>
      </c>
      <c r="AC403" s="767">
        <f t="shared" si="649"/>
        <v>300</v>
      </c>
      <c r="AD403" s="767">
        <f t="shared" si="649"/>
        <v>300</v>
      </c>
      <c r="AE403" s="767">
        <f t="shared" si="649"/>
        <v>300</v>
      </c>
      <c r="AF403" s="767">
        <f t="shared" si="649"/>
        <v>300</v>
      </c>
      <c r="AG403" s="767">
        <f t="shared" si="649"/>
        <v>300</v>
      </c>
      <c r="AH403" s="767">
        <f t="shared" si="649"/>
        <v>300</v>
      </c>
      <c r="AI403" s="767">
        <f t="shared" si="649"/>
        <v>300</v>
      </c>
      <c r="AJ403" s="767">
        <f t="shared" si="649"/>
        <v>300</v>
      </c>
      <c r="AK403" s="693"/>
    </row>
    <row r="404" spans="1:37" s="674" customFormat="1" ht="13.15" customHeight="1" x14ac:dyDescent="0.2">
      <c r="A404" s="680"/>
      <c r="B404" s="681"/>
      <c r="C404" s="682"/>
      <c r="D404" s="682"/>
      <c r="E404" s="682"/>
      <c r="F404" s="682"/>
      <c r="G404" s="682"/>
      <c r="H404" s="682"/>
      <c r="I404" s="682"/>
      <c r="J404" s="682"/>
      <c r="K404" s="682"/>
      <c r="L404" s="682"/>
      <c r="M404" s="682"/>
      <c r="N404" s="682"/>
      <c r="O404" s="683"/>
      <c r="P404" s="682"/>
      <c r="Q404" s="682"/>
      <c r="R404" s="682"/>
      <c r="S404" s="682"/>
      <c r="T404" s="682"/>
      <c r="U404" s="682"/>
      <c r="V404" s="682"/>
      <c r="W404" s="682"/>
      <c r="X404" s="682"/>
      <c r="Y404" s="682"/>
      <c r="Z404" s="682"/>
      <c r="AA404" s="682"/>
      <c r="AB404" s="683"/>
      <c r="AC404" s="683"/>
      <c r="AD404" s="683"/>
      <c r="AE404" s="683"/>
    </row>
    <row r="405" spans="1:37" s="766" customFormat="1" ht="13.15" customHeight="1" x14ac:dyDescent="0.2">
      <c r="A405" s="763" t="s">
        <v>428</v>
      </c>
      <c r="B405" s="764"/>
      <c r="C405" s="765">
        <f>C401*C403</f>
        <v>0</v>
      </c>
      <c r="D405" s="765">
        <f t="shared" ref="D405:N405" si="650">D401*D403</f>
        <v>0</v>
      </c>
      <c r="E405" s="765">
        <f t="shared" si="650"/>
        <v>0</v>
      </c>
      <c r="F405" s="765">
        <f t="shared" si="650"/>
        <v>0</v>
      </c>
      <c r="G405" s="765">
        <f t="shared" si="650"/>
        <v>0</v>
      </c>
      <c r="H405" s="765">
        <f t="shared" si="650"/>
        <v>0</v>
      </c>
      <c r="I405" s="765">
        <f t="shared" si="650"/>
        <v>0</v>
      </c>
      <c r="J405" s="765">
        <f t="shared" si="650"/>
        <v>0</v>
      </c>
      <c r="K405" s="765">
        <f t="shared" si="650"/>
        <v>0</v>
      </c>
      <c r="L405" s="765">
        <f t="shared" si="650"/>
        <v>0</v>
      </c>
      <c r="M405" s="765">
        <f t="shared" si="650"/>
        <v>0</v>
      </c>
      <c r="N405" s="765">
        <f t="shared" si="650"/>
        <v>0</v>
      </c>
      <c r="O405" s="765">
        <f>SUM(C405:N405)</f>
        <v>0</v>
      </c>
      <c r="P405" s="765">
        <f>P401*P403</f>
        <v>0</v>
      </c>
      <c r="Q405" s="765">
        <f t="shared" ref="Q405:AA405" si="651">Q401*Q403</f>
        <v>0</v>
      </c>
      <c r="R405" s="765">
        <f t="shared" si="651"/>
        <v>0</v>
      </c>
      <c r="S405" s="765">
        <f t="shared" si="651"/>
        <v>0</v>
      </c>
      <c r="T405" s="765">
        <f t="shared" si="651"/>
        <v>0</v>
      </c>
      <c r="U405" s="765">
        <f t="shared" si="651"/>
        <v>0</v>
      </c>
      <c r="V405" s="765">
        <f t="shared" si="651"/>
        <v>0</v>
      </c>
      <c r="W405" s="765">
        <f t="shared" si="651"/>
        <v>0</v>
      </c>
      <c r="X405" s="765">
        <f t="shared" si="651"/>
        <v>0</v>
      </c>
      <c r="Y405" s="765">
        <f t="shared" si="651"/>
        <v>0</v>
      </c>
      <c r="Z405" s="765">
        <f t="shared" si="651"/>
        <v>0</v>
      </c>
      <c r="AA405" s="765">
        <f t="shared" si="651"/>
        <v>0</v>
      </c>
      <c r="AB405" s="765">
        <f>SUM(P405:AA405)</f>
        <v>0</v>
      </c>
      <c r="AC405" s="765">
        <f t="shared" ref="AC405:AJ405" si="652">AC401*AC403</f>
        <v>0</v>
      </c>
      <c r="AD405" s="765">
        <f t="shared" si="652"/>
        <v>9287.4600000000028</v>
      </c>
      <c r="AE405" s="765">
        <f t="shared" si="652"/>
        <v>28698.251400000008</v>
      </c>
      <c r="AF405" s="765">
        <f t="shared" si="652"/>
        <v>58544.432856000014</v>
      </c>
      <c r="AG405" s="765">
        <f t="shared" si="652"/>
        <v>118259.75436912003</v>
      </c>
      <c r="AH405" s="765">
        <f t="shared" si="652"/>
        <v>177389.63155368002</v>
      </c>
      <c r="AI405" s="765">
        <f t="shared" si="652"/>
        <v>213524.5564998</v>
      </c>
      <c r="AJ405" s="765">
        <f t="shared" si="652"/>
        <v>246374.48826899994</v>
      </c>
    </row>
    <row r="406" spans="1:37" s="674" customFormat="1" ht="13.15" customHeight="1" x14ac:dyDescent="0.2">
      <c r="A406" s="680"/>
      <c r="B406" s="681"/>
      <c r="C406" s="682"/>
      <c r="D406" s="682"/>
      <c r="E406" s="682"/>
      <c r="F406" s="682"/>
      <c r="G406" s="682"/>
      <c r="H406" s="682"/>
      <c r="I406" s="682"/>
      <c r="J406" s="682"/>
      <c r="K406" s="682"/>
      <c r="L406" s="682"/>
      <c r="M406" s="682"/>
      <c r="N406" s="682"/>
      <c r="O406" s="683"/>
      <c r="P406" s="682"/>
      <c r="Q406" s="682"/>
      <c r="R406" s="682"/>
      <c r="S406" s="682"/>
      <c r="T406" s="682"/>
      <c r="U406" s="682"/>
      <c r="V406" s="682"/>
      <c r="W406" s="682"/>
      <c r="X406" s="682"/>
      <c r="Y406" s="682"/>
      <c r="Z406" s="682"/>
      <c r="AA406" s="682"/>
      <c r="AB406" s="683"/>
      <c r="AC406" s="683"/>
      <c r="AD406" s="683"/>
      <c r="AE406" s="683"/>
    </row>
    <row r="407" spans="1:37" s="674" customFormat="1" ht="13.15" customHeight="1" x14ac:dyDescent="0.2">
      <c r="A407" s="680"/>
      <c r="B407" s="681"/>
      <c r="C407" s="682"/>
      <c r="D407" s="682"/>
      <c r="E407" s="682"/>
      <c r="F407" s="682"/>
      <c r="G407" s="682"/>
      <c r="H407" s="682"/>
      <c r="I407" s="682"/>
      <c r="J407" s="682"/>
      <c r="K407" s="682"/>
      <c r="L407" s="682"/>
      <c r="M407" s="682"/>
      <c r="N407" s="682"/>
      <c r="O407" s="683"/>
      <c r="P407" s="682"/>
      <c r="Q407" s="682"/>
      <c r="R407" s="682"/>
      <c r="S407" s="682"/>
      <c r="T407" s="682"/>
      <c r="U407" s="682"/>
      <c r="V407" s="682"/>
      <c r="W407" s="682"/>
      <c r="X407" s="682"/>
      <c r="Y407" s="682"/>
      <c r="Z407" s="682"/>
      <c r="AA407" s="682"/>
      <c r="AB407" s="683"/>
      <c r="AC407" s="683"/>
      <c r="AD407" s="683"/>
      <c r="AE407" s="683"/>
    </row>
    <row r="408" spans="1:37" s="674" customFormat="1" ht="13.15" customHeight="1" x14ac:dyDescent="0.2">
      <c r="A408" s="676" t="s">
        <v>455</v>
      </c>
      <c r="B408" s="677"/>
      <c r="C408" s="678"/>
      <c r="D408" s="678"/>
      <c r="E408" s="678"/>
      <c r="F408" s="678"/>
      <c r="G408" s="678"/>
      <c r="H408" s="678"/>
      <c r="I408" s="678"/>
      <c r="J408" s="678"/>
      <c r="K408" s="678"/>
      <c r="L408" s="678"/>
      <c r="M408" s="678"/>
      <c r="N408" s="678"/>
      <c r="O408" s="679"/>
      <c r="P408" s="678"/>
      <c r="Q408" s="678"/>
      <c r="R408" s="678"/>
      <c r="S408" s="678"/>
      <c r="T408" s="678"/>
      <c r="U408" s="678"/>
      <c r="V408" s="678"/>
      <c r="W408" s="678"/>
      <c r="X408" s="678"/>
      <c r="Y408" s="678"/>
      <c r="Z408" s="678"/>
      <c r="AA408" s="678"/>
      <c r="AB408" s="679"/>
      <c r="AC408" s="679"/>
      <c r="AD408" s="679"/>
      <c r="AE408" s="679"/>
    </row>
    <row r="409" spans="1:37" s="674" customFormat="1" ht="13.15" customHeight="1" x14ac:dyDescent="0.2">
      <c r="A409" s="674" t="s">
        <v>250</v>
      </c>
      <c r="B409" s="681"/>
      <c r="C409" s="690">
        <f>$O409/12</f>
        <v>83.333333333333329</v>
      </c>
      <c r="D409" s="690">
        <f t="shared" ref="D409:N409" si="653">$O409/12</f>
        <v>83.333333333333329</v>
      </c>
      <c r="E409" s="690">
        <f t="shared" si="653"/>
        <v>83.333333333333329</v>
      </c>
      <c r="F409" s="690">
        <f t="shared" si="653"/>
        <v>83.333333333333329</v>
      </c>
      <c r="G409" s="690">
        <f t="shared" si="653"/>
        <v>83.333333333333329</v>
      </c>
      <c r="H409" s="690">
        <f t="shared" si="653"/>
        <v>83.333333333333329</v>
      </c>
      <c r="I409" s="690">
        <f t="shared" si="653"/>
        <v>83.333333333333329</v>
      </c>
      <c r="J409" s="690">
        <f t="shared" si="653"/>
        <v>83.333333333333329</v>
      </c>
      <c r="K409" s="690">
        <f t="shared" si="653"/>
        <v>83.333333333333329</v>
      </c>
      <c r="L409" s="690">
        <f t="shared" si="653"/>
        <v>83.333333333333329</v>
      </c>
      <c r="M409" s="690">
        <f t="shared" si="653"/>
        <v>83.333333333333329</v>
      </c>
      <c r="N409" s="690">
        <f t="shared" si="653"/>
        <v>83.333333333333329</v>
      </c>
      <c r="O409" s="689">
        <v>1000</v>
      </c>
      <c r="P409" s="690">
        <f>$AB409/12</f>
        <v>87.5</v>
      </c>
      <c r="Q409" s="690">
        <f t="shared" ref="Q409:AA409" si="654">$AB409/12</f>
        <v>87.5</v>
      </c>
      <c r="R409" s="690">
        <f t="shared" si="654"/>
        <v>87.5</v>
      </c>
      <c r="S409" s="690">
        <f t="shared" si="654"/>
        <v>87.5</v>
      </c>
      <c r="T409" s="690">
        <f t="shared" si="654"/>
        <v>87.5</v>
      </c>
      <c r="U409" s="690">
        <f t="shared" si="654"/>
        <v>87.5</v>
      </c>
      <c r="V409" s="690">
        <f t="shared" si="654"/>
        <v>87.5</v>
      </c>
      <c r="W409" s="690">
        <f t="shared" si="654"/>
        <v>87.5</v>
      </c>
      <c r="X409" s="690">
        <f t="shared" si="654"/>
        <v>87.5</v>
      </c>
      <c r="Y409" s="690">
        <f t="shared" si="654"/>
        <v>87.5</v>
      </c>
      <c r="Z409" s="690">
        <f t="shared" si="654"/>
        <v>87.5</v>
      </c>
      <c r="AA409" s="690">
        <f t="shared" si="654"/>
        <v>87.5</v>
      </c>
      <c r="AB409" s="690">
        <f>O409*(1+AB410)</f>
        <v>1050</v>
      </c>
      <c r="AC409" s="690">
        <f t="shared" ref="AC409:AJ409" si="655">AB409*(1+AC410)</f>
        <v>1102.5</v>
      </c>
      <c r="AD409" s="690">
        <f t="shared" si="655"/>
        <v>1146.6000000000001</v>
      </c>
      <c r="AE409" s="690">
        <f t="shared" si="655"/>
        <v>1180.9980000000003</v>
      </c>
      <c r="AF409" s="690">
        <f t="shared" si="655"/>
        <v>1204.6179600000003</v>
      </c>
      <c r="AG409" s="690">
        <f t="shared" si="655"/>
        <v>1216.6641396000002</v>
      </c>
      <c r="AH409" s="690">
        <f t="shared" si="655"/>
        <v>1216.6641396000002</v>
      </c>
      <c r="AI409" s="690">
        <f t="shared" si="655"/>
        <v>1216.6641396000002</v>
      </c>
      <c r="AJ409" s="690">
        <f t="shared" si="655"/>
        <v>1216.6641396000002</v>
      </c>
    </row>
    <row r="410" spans="1:37" s="688" customFormat="1" ht="13.15" customHeight="1" x14ac:dyDescent="0.2">
      <c r="A410" s="680" t="s">
        <v>324</v>
      </c>
      <c r="B410" s="681"/>
      <c r="C410" s="687"/>
      <c r="D410" s="687"/>
      <c r="E410" s="687"/>
      <c r="F410" s="687"/>
      <c r="G410" s="687"/>
      <c r="H410" s="687"/>
      <c r="I410" s="687"/>
      <c r="J410" s="687"/>
      <c r="K410" s="687"/>
      <c r="L410" s="687"/>
      <c r="M410" s="687"/>
      <c r="N410" s="687"/>
      <c r="O410" s="692"/>
      <c r="P410" s="687"/>
      <c r="Q410" s="687"/>
      <c r="R410" s="687"/>
      <c r="S410" s="687"/>
      <c r="T410" s="687"/>
      <c r="U410" s="687"/>
      <c r="V410" s="687"/>
      <c r="W410" s="687"/>
      <c r="X410" s="687"/>
      <c r="Y410" s="687"/>
      <c r="Z410" s="687"/>
      <c r="AA410" s="687"/>
      <c r="AB410" s="687">
        <v>0.05</v>
      </c>
      <c r="AC410" s="687">
        <v>0.05</v>
      </c>
      <c r="AD410" s="687">
        <f>AC410-1%</f>
        <v>0.04</v>
      </c>
      <c r="AE410" s="687">
        <f>AD410-1%</f>
        <v>0.03</v>
      </c>
      <c r="AF410" s="687">
        <f>AE410-1%</f>
        <v>1.9999999999999997E-2</v>
      </c>
      <c r="AG410" s="687">
        <f>AF410-1%</f>
        <v>9.9999999999999967E-3</v>
      </c>
      <c r="AH410" s="687">
        <f>AG410-1%</f>
        <v>0</v>
      </c>
      <c r="AI410" s="688">
        <f>AH410</f>
        <v>0</v>
      </c>
      <c r="AJ410" s="688">
        <f>AI410</f>
        <v>0</v>
      </c>
    </row>
    <row r="411" spans="1:37" s="688" customFormat="1" ht="13.15" customHeight="1" x14ac:dyDescent="0.2">
      <c r="A411" s="680" t="s">
        <v>248</v>
      </c>
      <c r="B411" s="681"/>
      <c r="C411" s="687">
        <f t="shared" ref="C411:N411" si="656">C384</f>
        <v>0</v>
      </c>
      <c r="D411" s="687">
        <f t="shared" si="656"/>
        <v>0</v>
      </c>
      <c r="E411" s="687">
        <f t="shared" si="656"/>
        <v>0</v>
      </c>
      <c r="F411" s="687">
        <f t="shared" si="656"/>
        <v>0</v>
      </c>
      <c r="G411" s="687">
        <f t="shared" si="656"/>
        <v>0</v>
      </c>
      <c r="H411" s="687">
        <f t="shared" si="656"/>
        <v>0</v>
      </c>
      <c r="I411" s="687">
        <f t="shared" si="656"/>
        <v>0</v>
      </c>
      <c r="J411" s="687">
        <f t="shared" si="656"/>
        <v>0</v>
      </c>
      <c r="K411" s="687">
        <f t="shared" si="656"/>
        <v>0</v>
      </c>
      <c r="L411" s="687">
        <f t="shared" si="656"/>
        <v>0</v>
      </c>
      <c r="M411" s="687">
        <f t="shared" si="656"/>
        <v>0</v>
      </c>
      <c r="N411" s="687">
        <f t="shared" si="656"/>
        <v>0</v>
      </c>
      <c r="O411" s="692">
        <f>N411</f>
        <v>0</v>
      </c>
      <c r="P411" s="687">
        <v>0</v>
      </c>
      <c r="Q411" s="687">
        <f t="shared" ref="Q411:AB411" si="657">P411</f>
        <v>0</v>
      </c>
      <c r="R411" s="687">
        <f t="shared" si="657"/>
        <v>0</v>
      </c>
      <c r="S411" s="687">
        <f t="shared" si="657"/>
        <v>0</v>
      </c>
      <c r="T411" s="687">
        <f t="shared" si="657"/>
        <v>0</v>
      </c>
      <c r="U411" s="687">
        <f t="shared" si="657"/>
        <v>0</v>
      </c>
      <c r="V411" s="687">
        <f t="shared" si="657"/>
        <v>0</v>
      </c>
      <c r="W411" s="687">
        <f t="shared" si="657"/>
        <v>0</v>
      </c>
      <c r="X411" s="687">
        <f t="shared" si="657"/>
        <v>0</v>
      </c>
      <c r="Y411" s="687">
        <f t="shared" si="657"/>
        <v>0</v>
      </c>
      <c r="Z411" s="687">
        <f t="shared" si="657"/>
        <v>0</v>
      </c>
      <c r="AA411" s="687">
        <f t="shared" si="657"/>
        <v>0</v>
      </c>
      <c r="AB411" s="692">
        <f t="shared" si="657"/>
        <v>0</v>
      </c>
      <c r="AC411" s="687">
        <f>AC384</f>
        <v>0</v>
      </c>
      <c r="AD411" s="687">
        <f t="shared" ref="AD411:AJ411" si="658">AD384</f>
        <v>1.2000000000000004E-2</v>
      </c>
      <c r="AE411" s="687">
        <f t="shared" si="658"/>
        <v>2.4000000000000007E-2</v>
      </c>
      <c r="AF411" s="687">
        <f t="shared" si="658"/>
        <v>4.8000000000000015E-2</v>
      </c>
      <c r="AG411" s="687">
        <f t="shared" si="658"/>
        <v>9.600000000000003E-2</v>
      </c>
      <c r="AH411" s="687">
        <f t="shared" si="658"/>
        <v>0.12</v>
      </c>
      <c r="AI411" s="687">
        <f t="shared" si="658"/>
        <v>0.13999999999999999</v>
      </c>
      <c r="AJ411" s="687">
        <f t="shared" si="658"/>
        <v>0.15999999999999998</v>
      </c>
    </row>
    <row r="412" spans="1:37" s="674" customFormat="1" ht="13.15" customHeight="1" x14ac:dyDescent="0.2">
      <c r="A412" s="680" t="s">
        <v>251</v>
      </c>
      <c r="B412" s="681"/>
      <c r="C412" s="690">
        <f t="shared" ref="C412:N412" si="659">C409*C411</f>
        <v>0</v>
      </c>
      <c r="D412" s="690">
        <f t="shared" si="659"/>
        <v>0</v>
      </c>
      <c r="E412" s="690">
        <f t="shared" si="659"/>
        <v>0</v>
      </c>
      <c r="F412" s="690">
        <f t="shared" si="659"/>
        <v>0</v>
      </c>
      <c r="G412" s="690">
        <f t="shared" si="659"/>
        <v>0</v>
      </c>
      <c r="H412" s="690">
        <f t="shared" si="659"/>
        <v>0</v>
      </c>
      <c r="I412" s="690">
        <f t="shared" si="659"/>
        <v>0</v>
      </c>
      <c r="J412" s="690">
        <f t="shared" si="659"/>
        <v>0</v>
      </c>
      <c r="K412" s="690">
        <f t="shared" si="659"/>
        <v>0</v>
      </c>
      <c r="L412" s="690">
        <f t="shared" si="659"/>
        <v>0</v>
      </c>
      <c r="M412" s="690">
        <f t="shared" si="659"/>
        <v>0</v>
      </c>
      <c r="N412" s="690">
        <f t="shared" si="659"/>
        <v>0</v>
      </c>
      <c r="O412" s="683">
        <f>SUM(C412:N412)</f>
        <v>0</v>
      </c>
      <c r="P412" s="690">
        <f t="shared" ref="P412:AA412" si="660">P409*P411</f>
        <v>0</v>
      </c>
      <c r="Q412" s="690">
        <f t="shared" si="660"/>
        <v>0</v>
      </c>
      <c r="R412" s="690">
        <f t="shared" si="660"/>
        <v>0</v>
      </c>
      <c r="S412" s="690">
        <f t="shared" si="660"/>
        <v>0</v>
      </c>
      <c r="T412" s="690">
        <f t="shared" si="660"/>
        <v>0</v>
      </c>
      <c r="U412" s="690">
        <f t="shared" si="660"/>
        <v>0</v>
      </c>
      <c r="V412" s="690">
        <f t="shared" si="660"/>
        <v>0</v>
      </c>
      <c r="W412" s="690">
        <f t="shared" si="660"/>
        <v>0</v>
      </c>
      <c r="X412" s="690">
        <f t="shared" si="660"/>
        <v>0</v>
      </c>
      <c r="Y412" s="690">
        <f t="shared" si="660"/>
        <v>0</v>
      </c>
      <c r="Z412" s="690">
        <f t="shared" si="660"/>
        <v>0</v>
      </c>
      <c r="AA412" s="690">
        <f t="shared" si="660"/>
        <v>0</v>
      </c>
      <c r="AB412" s="690">
        <f>SUM(P412:AA412)</f>
        <v>0</v>
      </c>
      <c r="AC412" s="690">
        <f>AC409*AVERAGE(AA411,AC411)</f>
        <v>0</v>
      </c>
      <c r="AD412" s="690">
        <f t="shared" ref="AD412:AJ412" si="661">AD409*AVERAGE(AC411,AD411)</f>
        <v>6.8796000000000026</v>
      </c>
      <c r="AE412" s="690">
        <f t="shared" si="661"/>
        <v>21.257964000000012</v>
      </c>
      <c r="AF412" s="690">
        <f t="shared" si="661"/>
        <v>43.366246560000022</v>
      </c>
      <c r="AG412" s="690">
        <f t="shared" si="661"/>
        <v>87.599818051200046</v>
      </c>
      <c r="AH412" s="690">
        <f t="shared" si="661"/>
        <v>131.39972707680005</v>
      </c>
      <c r="AI412" s="690">
        <f t="shared" si="661"/>
        <v>158.16633814800002</v>
      </c>
      <c r="AJ412" s="690">
        <f t="shared" si="661"/>
        <v>182.49962094</v>
      </c>
    </row>
    <row r="413" spans="1:37" s="674" customFormat="1" ht="13.15" customHeight="1" x14ac:dyDescent="0.2">
      <c r="A413" s="680" t="s">
        <v>249</v>
      </c>
      <c r="B413" s="681"/>
      <c r="C413" s="686">
        <v>2</v>
      </c>
      <c r="D413" s="686">
        <f t="shared" ref="D413:O413" si="662">C413</f>
        <v>2</v>
      </c>
      <c r="E413" s="686">
        <f t="shared" si="662"/>
        <v>2</v>
      </c>
      <c r="F413" s="686">
        <f t="shared" si="662"/>
        <v>2</v>
      </c>
      <c r="G413" s="686">
        <f t="shared" si="662"/>
        <v>2</v>
      </c>
      <c r="H413" s="686">
        <f t="shared" si="662"/>
        <v>2</v>
      </c>
      <c r="I413" s="686">
        <f t="shared" si="662"/>
        <v>2</v>
      </c>
      <c r="J413" s="686">
        <f t="shared" si="662"/>
        <v>2</v>
      </c>
      <c r="K413" s="686">
        <f t="shared" si="662"/>
        <v>2</v>
      </c>
      <c r="L413" s="686">
        <f t="shared" si="662"/>
        <v>2</v>
      </c>
      <c r="M413" s="686">
        <f t="shared" si="662"/>
        <v>2</v>
      </c>
      <c r="N413" s="686">
        <f t="shared" si="662"/>
        <v>2</v>
      </c>
      <c r="O413" s="685">
        <f t="shared" si="662"/>
        <v>2</v>
      </c>
      <c r="P413" s="686">
        <f>N413</f>
        <v>2</v>
      </c>
      <c r="Q413" s="686">
        <f t="shared" ref="Q413:AB413" si="663">P413</f>
        <v>2</v>
      </c>
      <c r="R413" s="686">
        <f t="shared" si="663"/>
        <v>2</v>
      </c>
      <c r="S413" s="686">
        <f t="shared" si="663"/>
        <v>2</v>
      </c>
      <c r="T413" s="686">
        <f t="shared" si="663"/>
        <v>2</v>
      </c>
      <c r="U413" s="686">
        <f t="shared" si="663"/>
        <v>2</v>
      </c>
      <c r="V413" s="686">
        <f t="shared" si="663"/>
        <v>2</v>
      </c>
      <c r="W413" s="686">
        <f t="shared" si="663"/>
        <v>2</v>
      </c>
      <c r="X413" s="686">
        <f t="shared" si="663"/>
        <v>2</v>
      </c>
      <c r="Y413" s="686">
        <f t="shared" si="663"/>
        <v>2</v>
      </c>
      <c r="Z413" s="686">
        <f t="shared" si="663"/>
        <v>2</v>
      </c>
      <c r="AA413" s="686">
        <f t="shared" si="663"/>
        <v>2</v>
      </c>
      <c r="AB413" s="686">
        <f t="shared" si="663"/>
        <v>2</v>
      </c>
      <c r="AC413" s="686">
        <f>AA413</f>
        <v>2</v>
      </c>
      <c r="AD413" s="686">
        <f t="shared" ref="AD413:AJ413" si="664">AC413</f>
        <v>2</v>
      </c>
      <c r="AE413" s="686">
        <f t="shared" si="664"/>
        <v>2</v>
      </c>
      <c r="AF413" s="686">
        <f t="shared" si="664"/>
        <v>2</v>
      </c>
      <c r="AG413" s="686">
        <f t="shared" si="664"/>
        <v>2</v>
      </c>
      <c r="AH413" s="686">
        <f t="shared" si="664"/>
        <v>2</v>
      </c>
      <c r="AI413" s="686">
        <f t="shared" si="664"/>
        <v>2</v>
      </c>
      <c r="AJ413" s="686">
        <f t="shared" si="664"/>
        <v>2</v>
      </c>
    </row>
    <row r="414" spans="1:37" s="674" customFormat="1" ht="13.15" customHeight="1" x14ac:dyDescent="0.2">
      <c r="A414" s="680" t="s">
        <v>255</v>
      </c>
      <c r="B414" s="681"/>
      <c r="C414" s="690">
        <f t="shared" ref="C414:N414" si="665">C412*C413</f>
        <v>0</v>
      </c>
      <c r="D414" s="690">
        <f t="shared" si="665"/>
        <v>0</v>
      </c>
      <c r="E414" s="690">
        <f t="shared" si="665"/>
        <v>0</v>
      </c>
      <c r="F414" s="690">
        <f t="shared" si="665"/>
        <v>0</v>
      </c>
      <c r="G414" s="690">
        <f t="shared" si="665"/>
        <v>0</v>
      </c>
      <c r="H414" s="690">
        <f t="shared" si="665"/>
        <v>0</v>
      </c>
      <c r="I414" s="690">
        <f t="shared" si="665"/>
        <v>0</v>
      </c>
      <c r="J414" s="690">
        <f t="shared" si="665"/>
        <v>0</v>
      </c>
      <c r="K414" s="690">
        <f t="shared" si="665"/>
        <v>0</v>
      </c>
      <c r="L414" s="690">
        <f t="shared" si="665"/>
        <v>0</v>
      </c>
      <c r="M414" s="690">
        <f t="shared" si="665"/>
        <v>0</v>
      </c>
      <c r="N414" s="690">
        <f t="shared" si="665"/>
        <v>0</v>
      </c>
      <c r="O414" s="691">
        <f>SUM(C414:N414)</f>
        <v>0</v>
      </c>
      <c r="P414" s="690">
        <f t="shared" ref="P414:AA414" si="666">P412*P413</f>
        <v>0</v>
      </c>
      <c r="Q414" s="690">
        <f t="shared" si="666"/>
        <v>0</v>
      </c>
      <c r="R414" s="690">
        <f t="shared" si="666"/>
        <v>0</v>
      </c>
      <c r="S414" s="690">
        <f t="shared" si="666"/>
        <v>0</v>
      </c>
      <c r="T414" s="690">
        <f t="shared" si="666"/>
        <v>0</v>
      </c>
      <c r="U414" s="690">
        <f t="shared" si="666"/>
        <v>0</v>
      </c>
      <c r="V414" s="690">
        <f t="shared" si="666"/>
        <v>0</v>
      </c>
      <c r="W414" s="690">
        <f t="shared" si="666"/>
        <v>0</v>
      </c>
      <c r="X414" s="690">
        <f t="shared" si="666"/>
        <v>0</v>
      </c>
      <c r="Y414" s="690">
        <f t="shared" si="666"/>
        <v>0</v>
      </c>
      <c r="Z414" s="690">
        <f t="shared" si="666"/>
        <v>0</v>
      </c>
      <c r="AA414" s="690">
        <f t="shared" si="666"/>
        <v>0</v>
      </c>
      <c r="AB414" s="691">
        <f>SUM(P414:AA414)</f>
        <v>0</v>
      </c>
      <c r="AC414" s="690">
        <f t="shared" ref="AC414:AJ414" si="667">AC412*AC413</f>
        <v>0</v>
      </c>
      <c r="AD414" s="690">
        <f t="shared" si="667"/>
        <v>13.759200000000005</v>
      </c>
      <c r="AE414" s="690">
        <f t="shared" si="667"/>
        <v>42.515928000000024</v>
      </c>
      <c r="AF414" s="690">
        <f t="shared" si="667"/>
        <v>86.732493120000044</v>
      </c>
      <c r="AG414" s="690">
        <f t="shared" si="667"/>
        <v>175.19963610240009</v>
      </c>
      <c r="AH414" s="690">
        <f t="shared" si="667"/>
        <v>262.7994541536001</v>
      </c>
      <c r="AI414" s="690">
        <f t="shared" si="667"/>
        <v>316.33267629600005</v>
      </c>
      <c r="AJ414" s="690">
        <f t="shared" si="667"/>
        <v>364.99924188</v>
      </c>
    </row>
    <row r="416" spans="1:37" s="674" customFormat="1" ht="13.15" customHeight="1" x14ac:dyDescent="0.2">
      <c r="A416" s="680" t="s">
        <v>253</v>
      </c>
      <c r="B416" s="681"/>
      <c r="C416" s="689">
        <v>0</v>
      </c>
      <c r="D416" s="689">
        <v>0</v>
      </c>
      <c r="E416" s="689">
        <v>0</v>
      </c>
      <c r="F416" s="689">
        <v>0</v>
      </c>
      <c r="G416" s="689">
        <v>0</v>
      </c>
      <c r="H416" s="689">
        <v>0</v>
      </c>
      <c r="I416" s="689">
        <v>0</v>
      </c>
      <c r="J416" s="689">
        <v>0</v>
      </c>
      <c r="K416" s="689">
        <v>0</v>
      </c>
      <c r="L416" s="689">
        <v>0</v>
      </c>
      <c r="M416" s="689">
        <v>0</v>
      </c>
      <c r="N416" s="689">
        <v>0</v>
      </c>
      <c r="O416" s="690">
        <f>N416</f>
        <v>0</v>
      </c>
      <c r="P416" s="689">
        <f>N416</f>
        <v>0</v>
      </c>
      <c r="Q416" s="689">
        <f t="shared" ref="Q416:AB416" si="668">P416</f>
        <v>0</v>
      </c>
      <c r="R416" s="689">
        <f t="shared" si="668"/>
        <v>0</v>
      </c>
      <c r="S416" s="689">
        <f t="shared" si="668"/>
        <v>0</v>
      </c>
      <c r="T416" s="689">
        <f t="shared" si="668"/>
        <v>0</v>
      </c>
      <c r="U416" s="689">
        <f t="shared" si="668"/>
        <v>0</v>
      </c>
      <c r="V416" s="689">
        <f t="shared" si="668"/>
        <v>0</v>
      </c>
      <c r="W416" s="689">
        <f t="shared" si="668"/>
        <v>0</v>
      </c>
      <c r="X416" s="689">
        <f t="shared" si="668"/>
        <v>0</v>
      </c>
      <c r="Y416" s="689">
        <f t="shared" si="668"/>
        <v>0</v>
      </c>
      <c r="Z416" s="689">
        <f t="shared" si="668"/>
        <v>0</v>
      </c>
      <c r="AA416" s="689">
        <f t="shared" si="668"/>
        <v>0</v>
      </c>
      <c r="AB416" s="690">
        <f t="shared" si="668"/>
        <v>0</v>
      </c>
      <c r="AC416" s="689">
        <f>AA416</f>
        <v>0</v>
      </c>
      <c r="AD416" s="689">
        <f t="shared" ref="AD416:AJ416" si="669">AC416</f>
        <v>0</v>
      </c>
      <c r="AE416" s="689">
        <f t="shared" si="669"/>
        <v>0</v>
      </c>
      <c r="AF416" s="689">
        <f t="shared" si="669"/>
        <v>0</v>
      </c>
      <c r="AG416" s="689">
        <f t="shared" si="669"/>
        <v>0</v>
      </c>
      <c r="AH416" s="689">
        <f t="shared" si="669"/>
        <v>0</v>
      </c>
      <c r="AI416" s="689">
        <f t="shared" si="669"/>
        <v>0</v>
      </c>
      <c r="AJ416" s="689">
        <f t="shared" si="669"/>
        <v>0</v>
      </c>
    </row>
    <row r="417" spans="1:37" s="674" customFormat="1" ht="13.15" customHeight="1" x14ac:dyDescent="0.2">
      <c r="A417" s="680" t="s">
        <v>252</v>
      </c>
      <c r="B417" s="681"/>
      <c r="C417" s="689">
        <f>100/12</f>
        <v>8.3333333333333339</v>
      </c>
      <c r="D417" s="689">
        <f t="shared" ref="D417:N417" si="670">100/12</f>
        <v>8.3333333333333339</v>
      </c>
      <c r="E417" s="689">
        <f t="shared" si="670"/>
        <v>8.3333333333333339</v>
      </c>
      <c r="F417" s="689">
        <f t="shared" si="670"/>
        <v>8.3333333333333339</v>
      </c>
      <c r="G417" s="689">
        <f t="shared" si="670"/>
        <v>8.3333333333333339</v>
      </c>
      <c r="H417" s="689">
        <f t="shared" si="670"/>
        <v>8.3333333333333339</v>
      </c>
      <c r="I417" s="689">
        <f t="shared" si="670"/>
        <v>8.3333333333333339</v>
      </c>
      <c r="J417" s="689">
        <f t="shared" si="670"/>
        <v>8.3333333333333339</v>
      </c>
      <c r="K417" s="689">
        <f t="shared" si="670"/>
        <v>8.3333333333333339</v>
      </c>
      <c r="L417" s="689">
        <f t="shared" si="670"/>
        <v>8.3333333333333339</v>
      </c>
      <c r="M417" s="689">
        <f t="shared" si="670"/>
        <v>8.3333333333333339</v>
      </c>
      <c r="N417" s="689">
        <f t="shared" si="670"/>
        <v>8.3333333333333339</v>
      </c>
      <c r="O417" s="683">
        <f>SUM(C417:N417)</f>
        <v>99.999999999999986</v>
      </c>
      <c r="P417" s="689">
        <f t="shared" ref="P417:AA417" si="671">100/12</f>
        <v>8.3333333333333339</v>
      </c>
      <c r="Q417" s="689">
        <f t="shared" si="671"/>
        <v>8.3333333333333339</v>
      </c>
      <c r="R417" s="689">
        <f t="shared" si="671"/>
        <v>8.3333333333333339</v>
      </c>
      <c r="S417" s="689">
        <f t="shared" si="671"/>
        <v>8.3333333333333339</v>
      </c>
      <c r="T417" s="689">
        <f t="shared" si="671"/>
        <v>8.3333333333333339</v>
      </c>
      <c r="U417" s="689">
        <f t="shared" si="671"/>
        <v>8.3333333333333339</v>
      </c>
      <c r="V417" s="689">
        <f t="shared" si="671"/>
        <v>8.3333333333333339</v>
      </c>
      <c r="W417" s="689">
        <f t="shared" si="671"/>
        <v>8.3333333333333339</v>
      </c>
      <c r="X417" s="689">
        <f t="shared" si="671"/>
        <v>8.3333333333333339</v>
      </c>
      <c r="Y417" s="689">
        <f t="shared" si="671"/>
        <v>8.3333333333333339</v>
      </c>
      <c r="Z417" s="689">
        <f t="shared" si="671"/>
        <v>8.3333333333333339</v>
      </c>
      <c r="AA417" s="689">
        <f t="shared" si="671"/>
        <v>8.3333333333333339</v>
      </c>
      <c r="AB417" s="683">
        <f>SUM(P417:AA417)</f>
        <v>99.999999999999986</v>
      </c>
      <c r="AC417" s="689">
        <v>100</v>
      </c>
      <c r="AD417" s="689">
        <v>100</v>
      </c>
      <c r="AE417" s="689">
        <v>100</v>
      </c>
      <c r="AF417" s="689">
        <v>100</v>
      </c>
      <c r="AG417" s="689">
        <v>100</v>
      </c>
      <c r="AH417" s="689">
        <v>100</v>
      </c>
      <c r="AI417" s="689">
        <v>100</v>
      </c>
      <c r="AJ417" s="689">
        <v>100</v>
      </c>
    </row>
    <row r="418" spans="1:37" s="674" customFormat="1" ht="13.15" customHeight="1" x14ac:dyDescent="0.2">
      <c r="A418" s="680" t="s">
        <v>254</v>
      </c>
      <c r="B418" s="681"/>
      <c r="C418" s="690">
        <f t="shared" ref="C418:N418" si="672">C416*C417</f>
        <v>0</v>
      </c>
      <c r="D418" s="690">
        <f t="shared" si="672"/>
        <v>0</v>
      </c>
      <c r="E418" s="690">
        <f t="shared" si="672"/>
        <v>0</v>
      </c>
      <c r="F418" s="690">
        <f t="shared" si="672"/>
        <v>0</v>
      </c>
      <c r="G418" s="690">
        <f t="shared" si="672"/>
        <v>0</v>
      </c>
      <c r="H418" s="690">
        <f t="shared" si="672"/>
        <v>0</v>
      </c>
      <c r="I418" s="690">
        <f t="shared" si="672"/>
        <v>0</v>
      </c>
      <c r="J418" s="690">
        <f t="shared" si="672"/>
        <v>0</v>
      </c>
      <c r="K418" s="690">
        <f t="shared" si="672"/>
        <v>0</v>
      </c>
      <c r="L418" s="690">
        <f t="shared" si="672"/>
        <v>0</v>
      </c>
      <c r="M418" s="690">
        <f t="shared" si="672"/>
        <v>0</v>
      </c>
      <c r="N418" s="690">
        <f t="shared" si="672"/>
        <v>0</v>
      </c>
      <c r="O418" s="683">
        <f>SUM(C418:N418)</f>
        <v>0</v>
      </c>
      <c r="P418" s="690">
        <f t="shared" ref="P418:AA418" si="673">P416*P417</f>
        <v>0</v>
      </c>
      <c r="Q418" s="690">
        <f t="shared" si="673"/>
        <v>0</v>
      </c>
      <c r="R418" s="690">
        <f t="shared" si="673"/>
        <v>0</v>
      </c>
      <c r="S418" s="690">
        <f t="shared" si="673"/>
        <v>0</v>
      </c>
      <c r="T418" s="690">
        <f t="shared" si="673"/>
        <v>0</v>
      </c>
      <c r="U418" s="690">
        <f t="shared" si="673"/>
        <v>0</v>
      </c>
      <c r="V418" s="690">
        <f t="shared" si="673"/>
        <v>0</v>
      </c>
      <c r="W418" s="690">
        <f t="shared" si="673"/>
        <v>0</v>
      </c>
      <c r="X418" s="690">
        <f t="shared" si="673"/>
        <v>0</v>
      </c>
      <c r="Y418" s="690">
        <f t="shared" si="673"/>
        <v>0</v>
      </c>
      <c r="Z418" s="690">
        <f t="shared" si="673"/>
        <v>0</v>
      </c>
      <c r="AA418" s="690">
        <f t="shared" si="673"/>
        <v>0</v>
      </c>
      <c r="AB418" s="690">
        <f>SUM(P418:AA418)</f>
        <v>0</v>
      </c>
      <c r="AC418" s="690">
        <f t="shared" ref="AC418:AJ418" si="674">AC416*AC417</f>
        <v>0</v>
      </c>
      <c r="AD418" s="690">
        <f t="shared" si="674"/>
        <v>0</v>
      </c>
      <c r="AE418" s="690">
        <f t="shared" si="674"/>
        <v>0</v>
      </c>
      <c r="AF418" s="690">
        <f t="shared" si="674"/>
        <v>0</v>
      </c>
      <c r="AG418" s="690">
        <f t="shared" si="674"/>
        <v>0</v>
      </c>
      <c r="AH418" s="690">
        <f t="shared" si="674"/>
        <v>0</v>
      </c>
      <c r="AI418" s="690">
        <f t="shared" si="674"/>
        <v>0</v>
      </c>
      <c r="AJ418" s="690">
        <f t="shared" si="674"/>
        <v>0</v>
      </c>
    </row>
    <row r="419" spans="1:37" s="674" customFormat="1" ht="13.15" customHeight="1" x14ac:dyDescent="0.2">
      <c r="A419" s="680" t="s">
        <v>249</v>
      </c>
      <c r="B419" s="681"/>
      <c r="C419" s="686">
        <f>C413</f>
        <v>2</v>
      </c>
      <c r="D419" s="686">
        <f t="shared" ref="D419:AJ419" si="675">D413</f>
        <v>2</v>
      </c>
      <c r="E419" s="686">
        <f t="shared" si="675"/>
        <v>2</v>
      </c>
      <c r="F419" s="686">
        <f t="shared" si="675"/>
        <v>2</v>
      </c>
      <c r="G419" s="686">
        <f t="shared" si="675"/>
        <v>2</v>
      </c>
      <c r="H419" s="686">
        <f t="shared" si="675"/>
        <v>2</v>
      </c>
      <c r="I419" s="686">
        <f t="shared" si="675"/>
        <v>2</v>
      </c>
      <c r="J419" s="686">
        <f t="shared" si="675"/>
        <v>2</v>
      </c>
      <c r="K419" s="686">
        <f t="shared" si="675"/>
        <v>2</v>
      </c>
      <c r="L419" s="686">
        <f t="shared" si="675"/>
        <v>2</v>
      </c>
      <c r="M419" s="686">
        <f t="shared" si="675"/>
        <v>2</v>
      </c>
      <c r="N419" s="686">
        <f t="shared" si="675"/>
        <v>2</v>
      </c>
      <c r="O419" s="686">
        <f t="shared" si="675"/>
        <v>2</v>
      </c>
      <c r="P419" s="686">
        <f t="shared" si="675"/>
        <v>2</v>
      </c>
      <c r="Q419" s="686">
        <f t="shared" si="675"/>
        <v>2</v>
      </c>
      <c r="R419" s="686">
        <f t="shared" si="675"/>
        <v>2</v>
      </c>
      <c r="S419" s="686">
        <f t="shared" si="675"/>
        <v>2</v>
      </c>
      <c r="T419" s="686">
        <f t="shared" si="675"/>
        <v>2</v>
      </c>
      <c r="U419" s="686">
        <f t="shared" si="675"/>
        <v>2</v>
      </c>
      <c r="V419" s="686">
        <f t="shared" si="675"/>
        <v>2</v>
      </c>
      <c r="W419" s="686">
        <f t="shared" si="675"/>
        <v>2</v>
      </c>
      <c r="X419" s="686">
        <f t="shared" si="675"/>
        <v>2</v>
      </c>
      <c r="Y419" s="686">
        <f t="shared" si="675"/>
        <v>2</v>
      </c>
      <c r="Z419" s="686">
        <f t="shared" si="675"/>
        <v>2</v>
      </c>
      <c r="AA419" s="686">
        <f t="shared" si="675"/>
        <v>2</v>
      </c>
      <c r="AB419" s="686">
        <f t="shared" si="675"/>
        <v>2</v>
      </c>
      <c r="AC419" s="686">
        <f t="shared" si="675"/>
        <v>2</v>
      </c>
      <c r="AD419" s="686">
        <f t="shared" si="675"/>
        <v>2</v>
      </c>
      <c r="AE419" s="686">
        <f t="shared" si="675"/>
        <v>2</v>
      </c>
      <c r="AF419" s="686">
        <f t="shared" si="675"/>
        <v>2</v>
      </c>
      <c r="AG419" s="686">
        <f t="shared" si="675"/>
        <v>2</v>
      </c>
      <c r="AH419" s="686">
        <f t="shared" si="675"/>
        <v>2</v>
      </c>
      <c r="AI419" s="686">
        <f t="shared" si="675"/>
        <v>2</v>
      </c>
      <c r="AJ419" s="686">
        <f t="shared" si="675"/>
        <v>2</v>
      </c>
    </row>
    <row r="420" spans="1:37" s="674" customFormat="1" ht="13.15" customHeight="1" x14ac:dyDescent="0.2">
      <c r="A420" s="680" t="s">
        <v>255</v>
      </c>
      <c r="B420" s="681"/>
      <c r="C420" s="690">
        <f t="shared" ref="C420:N420" si="676">C418*C419</f>
        <v>0</v>
      </c>
      <c r="D420" s="690">
        <f t="shared" si="676"/>
        <v>0</v>
      </c>
      <c r="E420" s="690">
        <f t="shared" si="676"/>
        <v>0</v>
      </c>
      <c r="F420" s="690">
        <f t="shared" si="676"/>
        <v>0</v>
      </c>
      <c r="G420" s="690">
        <f t="shared" si="676"/>
        <v>0</v>
      </c>
      <c r="H420" s="690">
        <f t="shared" si="676"/>
        <v>0</v>
      </c>
      <c r="I420" s="690">
        <f t="shared" si="676"/>
        <v>0</v>
      </c>
      <c r="J420" s="690">
        <f t="shared" si="676"/>
        <v>0</v>
      </c>
      <c r="K420" s="690">
        <f t="shared" si="676"/>
        <v>0</v>
      </c>
      <c r="L420" s="690">
        <f t="shared" si="676"/>
        <v>0</v>
      </c>
      <c r="M420" s="690">
        <f t="shared" si="676"/>
        <v>0</v>
      </c>
      <c r="N420" s="690">
        <f t="shared" si="676"/>
        <v>0</v>
      </c>
      <c r="O420" s="691">
        <f>SUM(C420:N420)</f>
        <v>0</v>
      </c>
      <c r="P420" s="690">
        <f t="shared" ref="P420:AA420" si="677">P418*P419</f>
        <v>0</v>
      </c>
      <c r="Q420" s="690">
        <f t="shared" si="677"/>
        <v>0</v>
      </c>
      <c r="R420" s="690">
        <f t="shared" si="677"/>
        <v>0</v>
      </c>
      <c r="S420" s="690">
        <f t="shared" si="677"/>
        <v>0</v>
      </c>
      <c r="T420" s="690">
        <f t="shared" si="677"/>
        <v>0</v>
      </c>
      <c r="U420" s="690">
        <f t="shared" si="677"/>
        <v>0</v>
      </c>
      <c r="V420" s="690">
        <f t="shared" si="677"/>
        <v>0</v>
      </c>
      <c r="W420" s="690">
        <f t="shared" si="677"/>
        <v>0</v>
      </c>
      <c r="X420" s="690">
        <f t="shared" si="677"/>
        <v>0</v>
      </c>
      <c r="Y420" s="690">
        <f t="shared" si="677"/>
        <v>0</v>
      </c>
      <c r="Z420" s="690">
        <f t="shared" si="677"/>
        <v>0</v>
      </c>
      <c r="AA420" s="690">
        <f t="shared" si="677"/>
        <v>0</v>
      </c>
      <c r="AB420" s="691">
        <f>SUM(P420:AA420)</f>
        <v>0</v>
      </c>
      <c r="AC420" s="690">
        <f t="shared" ref="AC420:AJ420" si="678">AC418*AC419</f>
        <v>0</v>
      </c>
      <c r="AD420" s="690">
        <f t="shared" si="678"/>
        <v>0</v>
      </c>
      <c r="AE420" s="690">
        <f t="shared" si="678"/>
        <v>0</v>
      </c>
      <c r="AF420" s="690">
        <f t="shared" si="678"/>
        <v>0</v>
      </c>
      <c r="AG420" s="690">
        <f t="shared" si="678"/>
        <v>0</v>
      </c>
      <c r="AH420" s="690">
        <f t="shared" si="678"/>
        <v>0</v>
      </c>
      <c r="AI420" s="690">
        <f t="shared" si="678"/>
        <v>0</v>
      </c>
      <c r="AJ420" s="690">
        <f t="shared" si="678"/>
        <v>0</v>
      </c>
    </row>
    <row r="421" spans="1:37" s="674" customFormat="1" ht="13.15" customHeight="1" x14ac:dyDescent="0.2">
      <c r="B421" s="681"/>
      <c r="C421" s="682"/>
      <c r="D421" s="682"/>
      <c r="E421" s="682"/>
      <c r="F421" s="682"/>
      <c r="G421" s="682"/>
      <c r="H421" s="682"/>
      <c r="I421" s="682"/>
      <c r="J421" s="682"/>
      <c r="K421" s="682"/>
      <c r="L421" s="682"/>
      <c r="M421" s="682"/>
      <c r="N421" s="682"/>
      <c r="O421" s="683"/>
      <c r="P421" s="682"/>
      <c r="Q421" s="682"/>
      <c r="R421" s="682"/>
      <c r="S421" s="682"/>
      <c r="T421" s="682"/>
      <c r="U421" s="682"/>
      <c r="V421" s="682"/>
      <c r="W421" s="682"/>
      <c r="X421" s="682"/>
      <c r="Y421" s="682"/>
      <c r="Z421" s="682"/>
      <c r="AA421" s="682"/>
      <c r="AB421" s="683"/>
      <c r="AC421" s="683"/>
      <c r="AD421" s="683"/>
      <c r="AE421" s="683"/>
    </row>
    <row r="422" spans="1:37" s="674" customFormat="1" ht="13.15" customHeight="1" x14ac:dyDescent="0.2">
      <c r="A422" s="680" t="s">
        <v>256</v>
      </c>
      <c r="B422" s="681"/>
      <c r="C422" s="689">
        <v>0</v>
      </c>
      <c r="D422" s="689">
        <v>0</v>
      </c>
      <c r="E422" s="689">
        <v>0</v>
      </c>
      <c r="F422" s="689">
        <v>0</v>
      </c>
      <c r="G422" s="689">
        <v>0</v>
      </c>
      <c r="H422" s="689">
        <v>0</v>
      </c>
      <c r="I422" s="689">
        <v>0</v>
      </c>
      <c r="J422" s="689">
        <v>0</v>
      </c>
      <c r="K422" s="689">
        <v>0</v>
      </c>
      <c r="L422" s="689">
        <v>0</v>
      </c>
      <c r="M422" s="689">
        <v>0</v>
      </c>
      <c r="N422" s="689">
        <v>0</v>
      </c>
      <c r="O422" s="690">
        <f>N422</f>
        <v>0</v>
      </c>
      <c r="P422" s="689">
        <f>N422</f>
        <v>0</v>
      </c>
      <c r="Q422" s="689">
        <f t="shared" ref="Q422:AB422" si="679">P422</f>
        <v>0</v>
      </c>
      <c r="R422" s="689">
        <f t="shared" si="679"/>
        <v>0</v>
      </c>
      <c r="S422" s="689">
        <f t="shared" si="679"/>
        <v>0</v>
      </c>
      <c r="T422" s="689">
        <f t="shared" si="679"/>
        <v>0</v>
      </c>
      <c r="U422" s="689">
        <f t="shared" si="679"/>
        <v>0</v>
      </c>
      <c r="V422" s="689">
        <f t="shared" si="679"/>
        <v>0</v>
      </c>
      <c r="W422" s="689">
        <f t="shared" si="679"/>
        <v>0</v>
      </c>
      <c r="X422" s="689">
        <f t="shared" si="679"/>
        <v>0</v>
      </c>
      <c r="Y422" s="689">
        <f t="shared" si="679"/>
        <v>0</v>
      </c>
      <c r="Z422" s="689">
        <f t="shared" si="679"/>
        <v>0</v>
      </c>
      <c r="AA422" s="689">
        <f t="shared" si="679"/>
        <v>0</v>
      </c>
      <c r="AB422" s="690">
        <f t="shared" si="679"/>
        <v>0</v>
      </c>
      <c r="AC422" s="689">
        <f>AA422</f>
        <v>0</v>
      </c>
      <c r="AD422" s="689">
        <f t="shared" ref="AD422:AJ422" si="680">AC422</f>
        <v>0</v>
      </c>
      <c r="AE422" s="689">
        <f t="shared" si="680"/>
        <v>0</v>
      </c>
      <c r="AF422" s="689">
        <f t="shared" si="680"/>
        <v>0</v>
      </c>
      <c r="AG422" s="689">
        <f t="shared" si="680"/>
        <v>0</v>
      </c>
      <c r="AH422" s="689">
        <f t="shared" si="680"/>
        <v>0</v>
      </c>
      <c r="AI422" s="689">
        <f t="shared" si="680"/>
        <v>0</v>
      </c>
      <c r="AJ422" s="689">
        <f t="shared" si="680"/>
        <v>0</v>
      </c>
    </row>
    <row r="423" spans="1:37" s="674" customFormat="1" ht="13.15" customHeight="1" x14ac:dyDescent="0.2">
      <c r="A423" s="680" t="s">
        <v>252</v>
      </c>
      <c r="B423" s="681"/>
      <c r="C423" s="689">
        <f>300/12</f>
        <v>25</v>
      </c>
      <c r="D423" s="689">
        <f t="shared" ref="D423:N423" si="681">300/12</f>
        <v>25</v>
      </c>
      <c r="E423" s="689">
        <f t="shared" si="681"/>
        <v>25</v>
      </c>
      <c r="F423" s="689">
        <f t="shared" si="681"/>
        <v>25</v>
      </c>
      <c r="G423" s="689">
        <f t="shared" si="681"/>
        <v>25</v>
      </c>
      <c r="H423" s="689">
        <f t="shared" si="681"/>
        <v>25</v>
      </c>
      <c r="I423" s="689">
        <f t="shared" si="681"/>
        <v>25</v>
      </c>
      <c r="J423" s="689">
        <f t="shared" si="681"/>
        <v>25</v>
      </c>
      <c r="K423" s="689">
        <f t="shared" si="681"/>
        <v>25</v>
      </c>
      <c r="L423" s="689">
        <f t="shared" si="681"/>
        <v>25</v>
      </c>
      <c r="M423" s="689">
        <f t="shared" si="681"/>
        <v>25</v>
      </c>
      <c r="N423" s="689">
        <f t="shared" si="681"/>
        <v>25</v>
      </c>
      <c r="O423" s="683">
        <f>SUM(C423:N423)</f>
        <v>300</v>
      </c>
      <c r="P423" s="689">
        <f>300/12</f>
        <v>25</v>
      </c>
      <c r="Q423" s="689">
        <f t="shared" ref="Q423:AA423" si="682">300/12</f>
        <v>25</v>
      </c>
      <c r="R423" s="689">
        <f t="shared" si="682"/>
        <v>25</v>
      </c>
      <c r="S423" s="689">
        <f t="shared" si="682"/>
        <v>25</v>
      </c>
      <c r="T423" s="689">
        <f t="shared" si="682"/>
        <v>25</v>
      </c>
      <c r="U423" s="689">
        <f t="shared" si="682"/>
        <v>25</v>
      </c>
      <c r="V423" s="689">
        <f t="shared" si="682"/>
        <v>25</v>
      </c>
      <c r="W423" s="689">
        <f t="shared" si="682"/>
        <v>25</v>
      </c>
      <c r="X423" s="689">
        <f t="shared" si="682"/>
        <v>25</v>
      </c>
      <c r="Y423" s="689">
        <f t="shared" si="682"/>
        <v>25</v>
      </c>
      <c r="Z423" s="689">
        <f t="shared" si="682"/>
        <v>25</v>
      </c>
      <c r="AA423" s="689">
        <f t="shared" si="682"/>
        <v>25</v>
      </c>
      <c r="AB423" s="683">
        <f>SUM(P423:AA423)</f>
        <v>300</v>
      </c>
      <c r="AC423" s="689">
        <v>300</v>
      </c>
      <c r="AD423" s="689">
        <v>300</v>
      </c>
      <c r="AE423" s="689">
        <v>300</v>
      </c>
      <c r="AF423" s="689">
        <v>300</v>
      </c>
      <c r="AG423" s="689">
        <v>300</v>
      </c>
      <c r="AH423" s="689">
        <v>300</v>
      </c>
      <c r="AI423" s="689">
        <v>300</v>
      </c>
      <c r="AJ423" s="689">
        <v>300</v>
      </c>
    </row>
    <row r="424" spans="1:37" s="674" customFormat="1" ht="13.15" customHeight="1" x14ac:dyDescent="0.2">
      <c r="A424" s="680" t="s">
        <v>254</v>
      </c>
      <c r="B424" s="681"/>
      <c r="C424" s="690">
        <f t="shared" ref="C424:N424" si="683">C422*C423</f>
        <v>0</v>
      </c>
      <c r="D424" s="690">
        <f t="shared" si="683"/>
        <v>0</v>
      </c>
      <c r="E424" s="690">
        <f t="shared" si="683"/>
        <v>0</v>
      </c>
      <c r="F424" s="690">
        <f t="shared" si="683"/>
        <v>0</v>
      </c>
      <c r="G424" s="690">
        <f t="shared" si="683"/>
        <v>0</v>
      </c>
      <c r="H424" s="690">
        <f t="shared" si="683"/>
        <v>0</v>
      </c>
      <c r="I424" s="690">
        <f t="shared" si="683"/>
        <v>0</v>
      </c>
      <c r="J424" s="690">
        <f t="shared" si="683"/>
        <v>0</v>
      </c>
      <c r="K424" s="690">
        <f t="shared" si="683"/>
        <v>0</v>
      </c>
      <c r="L424" s="690">
        <f t="shared" si="683"/>
        <v>0</v>
      </c>
      <c r="M424" s="690">
        <f t="shared" si="683"/>
        <v>0</v>
      </c>
      <c r="N424" s="690">
        <f t="shared" si="683"/>
        <v>0</v>
      </c>
      <c r="O424" s="683">
        <f>SUM(C424:N424)</f>
        <v>0</v>
      </c>
      <c r="P424" s="690">
        <f t="shared" ref="P424:AA424" si="684">P422*P423</f>
        <v>0</v>
      </c>
      <c r="Q424" s="690">
        <f t="shared" si="684"/>
        <v>0</v>
      </c>
      <c r="R424" s="690">
        <f t="shared" si="684"/>
        <v>0</v>
      </c>
      <c r="S424" s="690">
        <f t="shared" si="684"/>
        <v>0</v>
      </c>
      <c r="T424" s="690">
        <f t="shared" si="684"/>
        <v>0</v>
      </c>
      <c r="U424" s="690">
        <f t="shared" si="684"/>
        <v>0</v>
      </c>
      <c r="V424" s="690">
        <f t="shared" si="684"/>
        <v>0</v>
      </c>
      <c r="W424" s="690">
        <f t="shared" si="684"/>
        <v>0</v>
      </c>
      <c r="X424" s="690">
        <f t="shared" si="684"/>
        <v>0</v>
      </c>
      <c r="Y424" s="690">
        <f t="shared" si="684"/>
        <v>0</v>
      </c>
      <c r="Z424" s="690">
        <f t="shared" si="684"/>
        <v>0</v>
      </c>
      <c r="AA424" s="690">
        <f t="shared" si="684"/>
        <v>0</v>
      </c>
      <c r="AB424" s="683">
        <f>SUM(P424:AA424)</f>
        <v>0</v>
      </c>
      <c r="AC424" s="690">
        <f t="shared" ref="AC424:AJ424" si="685">AC422*AC423</f>
        <v>0</v>
      </c>
      <c r="AD424" s="690">
        <f t="shared" si="685"/>
        <v>0</v>
      </c>
      <c r="AE424" s="690">
        <f t="shared" si="685"/>
        <v>0</v>
      </c>
      <c r="AF424" s="690">
        <f t="shared" si="685"/>
        <v>0</v>
      </c>
      <c r="AG424" s="690">
        <f t="shared" si="685"/>
        <v>0</v>
      </c>
      <c r="AH424" s="690">
        <f t="shared" si="685"/>
        <v>0</v>
      </c>
      <c r="AI424" s="690">
        <f t="shared" si="685"/>
        <v>0</v>
      </c>
      <c r="AJ424" s="690">
        <f t="shared" si="685"/>
        <v>0</v>
      </c>
    </row>
    <row r="425" spans="1:37" s="674" customFormat="1" ht="13.15" customHeight="1" x14ac:dyDescent="0.2">
      <c r="A425" s="680" t="s">
        <v>249</v>
      </c>
      <c r="B425" s="681"/>
      <c r="C425" s="686">
        <f>C413</f>
        <v>2</v>
      </c>
      <c r="D425" s="686">
        <f t="shared" ref="D425:AJ425" si="686">D413</f>
        <v>2</v>
      </c>
      <c r="E425" s="686">
        <f t="shared" si="686"/>
        <v>2</v>
      </c>
      <c r="F425" s="686">
        <f t="shared" si="686"/>
        <v>2</v>
      </c>
      <c r="G425" s="686">
        <f t="shared" si="686"/>
        <v>2</v>
      </c>
      <c r="H425" s="686">
        <f t="shared" si="686"/>
        <v>2</v>
      </c>
      <c r="I425" s="686">
        <f t="shared" si="686"/>
        <v>2</v>
      </c>
      <c r="J425" s="686">
        <f t="shared" si="686"/>
        <v>2</v>
      </c>
      <c r="K425" s="686">
        <f t="shared" si="686"/>
        <v>2</v>
      </c>
      <c r="L425" s="686">
        <f t="shared" si="686"/>
        <v>2</v>
      </c>
      <c r="M425" s="686">
        <f t="shared" si="686"/>
        <v>2</v>
      </c>
      <c r="N425" s="686">
        <f t="shared" si="686"/>
        <v>2</v>
      </c>
      <c r="O425" s="686">
        <f t="shared" si="686"/>
        <v>2</v>
      </c>
      <c r="P425" s="686">
        <f t="shared" si="686"/>
        <v>2</v>
      </c>
      <c r="Q425" s="686">
        <f t="shared" si="686"/>
        <v>2</v>
      </c>
      <c r="R425" s="686">
        <f t="shared" si="686"/>
        <v>2</v>
      </c>
      <c r="S425" s="686">
        <f t="shared" si="686"/>
        <v>2</v>
      </c>
      <c r="T425" s="686">
        <f t="shared" si="686"/>
        <v>2</v>
      </c>
      <c r="U425" s="686">
        <f t="shared" si="686"/>
        <v>2</v>
      </c>
      <c r="V425" s="686">
        <f t="shared" si="686"/>
        <v>2</v>
      </c>
      <c r="W425" s="686">
        <f t="shared" si="686"/>
        <v>2</v>
      </c>
      <c r="X425" s="686">
        <f t="shared" si="686"/>
        <v>2</v>
      </c>
      <c r="Y425" s="686">
        <f t="shared" si="686"/>
        <v>2</v>
      </c>
      <c r="Z425" s="686">
        <f t="shared" si="686"/>
        <v>2</v>
      </c>
      <c r="AA425" s="686">
        <f t="shared" si="686"/>
        <v>2</v>
      </c>
      <c r="AB425" s="686">
        <f t="shared" si="686"/>
        <v>2</v>
      </c>
      <c r="AC425" s="686">
        <f t="shared" si="686"/>
        <v>2</v>
      </c>
      <c r="AD425" s="686">
        <f t="shared" si="686"/>
        <v>2</v>
      </c>
      <c r="AE425" s="686">
        <f t="shared" si="686"/>
        <v>2</v>
      </c>
      <c r="AF425" s="686">
        <f t="shared" si="686"/>
        <v>2</v>
      </c>
      <c r="AG425" s="686">
        <f t="shared" si="686"/>
        <v>2</v>
      </c>
      <c r="AH425" s="686">
        <f t="shared" si="686"/>
        <v>2</v>
      </c>
      <c r="AI425" s="686">
        <f t="shared" si="686"/>
        <v>2</v>
      </c>
      <c r="AJ425" s="686">
        <f t="shared" si="686"/>
        <v>2</v>
      </c>
    </row>
    <row r="426" spans="1:37" s="674" customFormat="1" ht="13.15" customHeight="1" x14ac:dyDescent="0.2">
      <c r="A426" s="680" t="s">
        <v>255</v>
      </c>
      <c r="B426" s="681"/>
      <c r="C426" s="690">
        <f t="shared" ref="C426:N426" si="687">C424*C425</f>
        <v>0</v>
      </c>
      <c r="D426" s="690">
        <f t="shared" si="687"/>
        <v>0</v>
      </c>
      <c r="E426" s="690">
        <f t="shared" si="687"/>
        <v>0</v>
      </c>
      <c r="F426" s="690">
        <f t="shared" si="687"/>
        <v>0</v>
      </c>
      <c r="G426" s="690">
        <f t="shared" si="687"/>
        <v>0</v>
      </c>
      <c r="H426" s="690">
        <f t="shared" si="687"/>
        <v>0</v>
      </c>
      <c r="I426" s="690">
        <f t="shared" si="687"/>
        <v>0</v>
      </c>
      <c r="J426" s="690">
        <f t="shared" si="687"/>
        <v>0</v>
      </c>
      <c r="K426" s="690">
        <f t="shared" si="687"/>
        <v>0</v>
      </c>
      <c r="L426" s="690">
        <f t="shared" si="687"/>
        <v>0</v>
      </c>
      <c r="M426" s="690">
        <f t="shared" si="687"/>
        <v>0</v>
      </c>
      <c r="N426" s="690">
        <f t="shared" si="687"/>
        <v>0</v>
      </c>
      <c r="O426" s="691">
        <f>SUM(C426:N426)</f>
        <v>0</v>
      </c>
      <c r="P426" s="690">
        <f t="shared" ref="P426:AA426" si="688">P424*P425</f>
        <v>0</v>
      </c>
      <c r="Q426" s="690">
        <f t="shared" si="688"/>
        <v>0</v>
      </c>
      <c r="R426" s="690">
        <f t="shared" si="688"/>
        <v>0</v>
      </c>
      <c r="S426" s="690">
        <f t="shared" si="688"/>
        <v>0</v>
      </c>
      <c r="T426" s="690">
        <f t="shared" si="688"/>
        <v>0</v>
      </c>
      <c r="U426" s="690">
        <f t="shared" si="688"/>
        <v>0</v>
      </c>
      <c r="V426" s="690">
        <f t="shared" si="688"/>
        <v>0</v>
      </c>
      <c r="W426" s="690">
        <f t="shared" si="688"/>
        <v>0</v>
      </c>
      <c r="X426" s="690">
        <f t="shared" si="688"/>
        <v>0</v>
      </c>
      <c r="Y426" s="690">
        <f t="shared" si="688"/>
        <v>0</v>
      </c>
      <c r="Z426" s="690">
        <f t="shared" si="688"/>
        <v>0</v>
      </c>
      <c r="AA426" s="690">
        <f t="shared" si="688"/>
        <v>0</v>
      </c>
      <c r="AB426" s="691">
        <f>SUM(P426:AA426)</f>
        <v>0</v>
      </c>
      <c r="AC426" s="690">
        <f t="shared" ref="AC426:AJ426" si="689">AC424*AC425</f>
        <v>0</v>
      </c>
      <c r="AD426" s="690">
        <f t="shared" si="689"/>
        <v>0</v>
      </c>
      <c r="AE426" s="690">
        <f t="shared" si="689"/>
        <v>0</v>
      </c>
      <c r="AF426" s="690">
        <f t="shared" si="689"/>
        <v>0</v>
      </c>
      <c r="AG426" s="690">
        <f t="shared" si="689"/>
        <v>0</v>
      </c>
      <c r="AH426" s="690">
        <f t="shared" si="689"/>
        <v>0</v>
      </c>
      <c r="AI426" s="690">
        <f t="shared" si="689"/>
        <v>0</v>
      </c>
      <c r="AJ426" s="690">
        <f t="shared" si="689"/>
        <v>0</v>
      </c>
    </row>
    <row r="427" spans="1:37" s="674" customFormat="1" ht="13.15" customHeight="1" x14ac:dyDescent="0.2">
      <c r="A427" s="680"/>
      <c r="B427" s="681"/>
      <c r="C427" s="682"/>
      <c r="D427" s="682"/>
      <c r="E427" s="682"/>
      <c r="F427" s="682"/>
      <c r="G427" s="682"/>
      <c r="H427" s="682"/>
      <c r="I427" s="682"/>
      <c r="J427" s="682"/>
      <c r="K427" s="682"/>
      <c r="L427" s="682"/>
      <c r="M427" s="682"/>
      <c r="N427" s="682"/>
      <c r="O427" s="683"/>
      <c r="P427" s="682"/>
      <c r="Q427" s="682"/>
      <c r="R427" s="682"/>
      <c r="S427" s="682"/>
      <c r="T427" s="682"/>
      <c r="U427" s="682"/>
      <c r="V427" s="682"/>
      <c r="W427" s="682"/>
      <c r="X427" s="682"/>
      <c r="Y427" s="682"/>
      <c r="Z427" s="682"/>
      <c r="AA427" s="682"/>
      <c r="AB427" s="683"/>
      <c r="AC427" s="683"/>
      <c r="AD427" s="683"/>
      <c r="AE427" s="683"/>
    </row>
    <row r="428" spans="1:37" s="684" customFormat="1" ht="13.15" customHeight="1" x14ac:dyDescent="0.2">
      <c r="A428" s="676" t="s">
        <v>257</v>
      </c>
      <c r="B428" s="677"/>
      <c r="C428" s="694">
        <f>C414+C420+C426</f>
        <v>0</v>
      </c>
      <c r="D428" s="694">
        <f t="shared" ref="D428:N428" si="690">D414+D420+D426</f>
        <v>0</v>
      </c>
      <c r="E428" s="694">
        <f t="shared" si="690"/>
        <v>0</v>
      </c>
      <c r="F428" s="694">
        <f t="shared" si="690"/>
        <v>0</v>
      </c>
      <c r="G428" s="694">
        <f t="shared" si="690"/>
        <v>0</v>
      </c>
      <c r="H428" s="694">
        <f t="shared" si="690"/>
        <v>0</v>
      </c>
      <c r="I428" s="694">
        <f t="shared" si="690"/>
        <v>0</v>
      </c>
      <c r="J428" s="694">
        <f t="shared" si="690"/>
        <v>0</v>
      </c>
      <c r="K428" s="694">
        <f t="shared" si="690"/>
        <v>0</v>
      </c>
      <c r="L428" s="694">
        <f t="shared" si="690"/>
        <v>0</v>
      </c>
      <c r="M428" s="694">
        <f t="shared" si="690"/>
        <v>0</v>
      </c>
      <c r="N428" s="694">
        <f t="shared" si="690"/>
        <v>0</v>
      </c>
      <c r="O428" s="679">
        <f>SUM(C428:N428)</f>
        <v>0</v>
      </c>
      <c r="P428" s="694">
        <f t="shared" ref="P428:AA428" si="691">P414+P420+P426</f>
        <v>0</v>
      </c>
      <c r="Q428" s="694">
        <f t="shared" si="691"/>
        <v>0</v>
      </c>
      <c r="R428" s="694">
        <f t="shared" si="691"/>
        <v>0</v>
      </c>
      <c r="S428" s="694">
        <f t="shared" si="691"/>
        <v>0</v>
      </c>
      <c r="T428" s="694">
        <f t="shared" si="691"/>
        <v>0</v>
      </c>
      <c r="U428" s="694">
        <f t="shared" si="691"/>
        <v>0</v>
      </c>
      <c r="V428" s="694">
        <f t="shared" si="691"/>
        <v>0</v>
      </c>
      <c r="W428" s="694">
        <f t="shared" si="691"/>
        <v>0</v>
      </c>
      <c r="X428" s="694">
        <f t="shared" si="691"/>
        <v>0</v>
      </c>
      <c r="Y428" s="694">
        <f t="shared" si="691"/>
        <v>0</v>
      </c>
      <c r="Z428" s="694">
        <f t="shared" si="691"/>
        <v>0</v>
      </c>
      <c r="AA428" s="694">
        <f t="shared" si="691"/>
        <v>0</v>
      </c>
      <c r="AB428" s="694">
        <f>SUM(P428:AA428)</f>
        <v>0</v>
      </c>
      <c r="AC428" s="694">
        <f t="shared" ref="AC428:AJ428" si="692">AC414+AC420+AC426</f>
        <v>0</v>
      </c>
      <c r="AD428" s="694">
        <f t="shared" si="692"/>
        <v>13.759200000000005</v>
      </c>
      <c r="AE428" s="694">
        <f t="shared" si="692"/>
        <v>42.515928000000024</v>
      </c>
      <c r="AF428" s="694">
        <f t="shared" si="692"/>
        <v>86.732493120000044</v>
      </c>
      <c r="AG428" s="694">
        <f t="shared" si="692"/>
        <v>175.19963610240009</v>
      </c>
      <c r="AH428" s="694">
        <f t="shared" si="692"/>
        <v>262.7994541536001</v>
      </c>
      <c r="AI428" s="694">
        <f t="shared" si="692"/>
        <v>316.33267629600005</v>
      </c>
      <c r="AJ428" s="694">
        <f t="shared" si="692"/>
        <v>364.99924188</v>
      </c>
    </row>
    <row r="429" spans="1:37" s="674" customFormat="1" ht="13.15" customHeight="1" x14ac:dyDescent="0.2">
      <c r="A429" s="680"/>
      <c r="B429" s="681"/>
      <c r="C429" s="682"/>
      <c r="D429" s="682"/>
      <c r="E429" s="682"/>
      <c r="F429" s="682"/>
      <c r="G429" s="682"/>
      <c r="H429" s="682"/>
      <c r="I429" s="682"/>
      <c r="J429" s="682"/>
      <c r="K429" s="682"/>
      <c r="L429" s="682"/>
      <c r="M429" s="682"/>
      <c r="N429" s="682"/>
      <c r="O429" s="683"/>
      <c r="P429" s="682"/>
      <c r="Q429" s="682"/>
      <c r="R429" s="682"/>
      <c r="S429" s="682"/>
      <c r="T429" s="682"/>
      <c r="U429" s="682"/>
      <c r="V429" s="682"/>
      <c r="W429" s="682"/>
      <c r="X429" s="682"/>
      <c r="Y429" s="682"/>
      <c r="Z429" s="682"/>
      <c r="AA429" s="682"/>
      <c r="AB429" s="683"/>
      <c r="AC429" s="683"/>
      <c r="AD429" s="683"/>
      <c r="AE429" s="683"/>
    </row>
    <row r="430" spans="1:37" s="674" customFormat="1" ht="13.15" customHeight="1" x14ac:dyDescent="0.2">
      <c r="A430" s="680" t="s">
        <v>258</v>
      </c>
      <c r="B430" s="681"/>
      <c r="C430" s="767">
        <f>C$25</f>
        <v>300</v>
      </c>
      <c r="D430" s="767">
        <f t="shared" ref="D430:AJ430" si="693">D$25</f>
        <v>300</v>
      </c>
      <c r="E430" s="767">
        <f t="shared" si="693"/>
        <v>300</v>
      </c>
      <c r="F430" s="767">
        <f t="shared" si="693"/>
        <v>300</v>
      </c>
      <c r="G430" s="767">
        <f t="shared" si="693"/>
        <v>300</v>
      </c>
      <c r="H430" s="767">
        <f t="shared" si="693"/>
        <v>300</v>
      </c>
      <c r="I430" s="767">
        <f t="shared" si="693"/>
        <v>300</v>
      </c>
      <c r="J430" s="767">
        <f t="shared" si="693"/>
        <v>300</v>
      </c>
      <c r="K430" s="767">
        <f t="shared" si="693"/>
        <v>300</v>
      </c>
      <c r="L430" s="767">
        <f t="shared" si="693"/>
        <v>300</v>
      </c>
      <c r="M430" s="767">
        <f t="shared" si="693"/>
        <v>300</v>
      </c>
      <c r="N430" s="767">
        <f t="shared" si="693"/>
        <v>300</v>
      </c>
      <c r="O430" s="767">
        <f t="shared" si="693"/>
        <v>300</v>
      </c>
      <c r="P430" s="767">
        <f t="shared" si="693"/>
        <v>300</v>
      </c>
      <c r="Q430" s="767">
        <f t="shared" si="693"/>
        <v>300</v>
      </c>
      <c r="R430" s="767">
        <f t="shared" si="693"/>
        <v>300</v>
      </c>
      <c r="S430" s="767">
        <f t="shared" si="693"/>
        <v>300</v>
      </c>
      <c r="T430" s="767">
        <f t="shared" si="693"/>
        <v>300</v>
      </c>
      <c r="U430" s="767">
        <f t="shared" si="693"/>
        <v>300</v>
      </c>
      <c r="V430" s="767">
        <f t="shared" si="693"/>
        <v>300</v>
      </c>
      <c r="W430" s="767">
        <f t="shared" si="693"/>
        <v>300</v>
      </c>
      <c r="X430" s="767">
        <f t="shared" si="693"/>
        <v>300</v>
      </c>
      <c r="Y430" s="767">
        <f t="shared" si="693"/>
        <v>300</v>
      </c>
      <c r="Z430" s="767">
        <f t="shared" si="693"/>
        <v>300</v>
      </c>
      <c r="AA430" s="767">
        <f t="shared" si="693"/>
        <v>300</v>
      </c>
      <c r="AB430" s="767">
        <f t="shared" si="693"/>
        <v>300</v>
      </c>
      <c r="AC430" s="767">
        <f t="shared" si="693"/>
        <v>300</v>
      </c>
      <c r="AD430" s="767">
        <f t="shared" si="693"/>
        <v>300</v>
      </c>
      <c r="AE430" s="767">
        <f t="shared" si="693"/>
        <v>300</v>
      </c>
      <c r="AF430" s="767">
        <f t="shared" si="693"/>
        <v>300</v>
      </c>
      <c r="AG430" s="767">
        <f t="shared" si="693"/>
        <v>300</v>
      </c>
      <c r="AH430" s="767">
        <f t="shared" si="693"/>
        <v>300</v>
      </c>
      <c r="AI430" s="767">
        <f t="shared" si="693"/>
        <v>300</v>
      </c>
      <c r="AJ430" s="767">
        <f t="shared" si="693"/>
        <v>300</v>
      </c>
      <c r="AK430" s="693"/>
    </row>
    <row r="431" spans="1:37" s="674" customFormat="1" ht="13.15" customHeight="1" x14ac:dyDescent="0.2">
      <c r="A431" s="680"/>
      <c r="B431" s="681"/>
      <c r="C431" s="682"/>
      <c r="D431" s="682"/>
      <c r="E431" s="682"/>
      <c r="F431" s="682"/>
      <c r="G431" s="682"/>
      <c r="H431" s="682"/>
      <c r="I431" s="682"/>
      <c r="J431" s="682"/>
      <c r="K431" s="682"/>
      <c r="L431" s="682"/>
      <c r="M431" s="682"/>
      <c r="N431" s="682"/>
      <c r="O431" s="683"/>
      <c r="P431" s="682"/>
      <c r="Q431" s="682"/>
      <c r="R431" s="682"/>
      <c r="S431" s="682"/>
      <c r="T431" s="682"/>
      <c r="U431" s="682"/>
      <c r="V431" s="682"/>
      <c r="W431" s="682"/>
      <c r="X431" s="682"/>
      <c r="Y431" s="682"/>
      <c r="Z431" s="682"/>
      <c r="AA431" s="682"/>
      <c r="AB431" s="683"/>
      <c r="AC431" s="683"/>
      <c r="AD431" s="683"/>
      <c r="AE431" s="683"/>
    </row>
    <row r="432" spans="1:37" s="766" customFormat="1" ht="13.15" customHeight="1" x14ac:dyDescent="0.2">
      <c r="A432" s="763" t="s">
        <v>429</v>
      </c>
      <c r="B432" s="764"/>
      <c r="C432" s="765">
        <f>C428*C430</f>
        <v>0</v>
      </c>
      <c r="D432" s="765">
        <f t="shared" ref="D432:N432" si="694">D428*D430</f>
        <v>0</v>
      </c>
      <c r="E432" s="765">
        <f t="shared" si="694"/>
        <v>0</v>
      </c>
      <c r="F432" s="765">
        <f t="shared" si="694"/>
        <v>0</v>
      </c>
      <c r="G432" s="765">
        <f t="shared" si="694"/>
        <v>0</v>
      </c>
      <c r="H432" s="765">
        <f t="shared" si="694"/>
        <v>0</v>
      </c>
      <c r="I432" s="765">
        <f t="shared" si="694"/>
        <v>0</v>
      </c>
      <c r="J432" s="765">
        <f t="shared" si="694"/>
        <v>0</v>
      </c>
      <c r="K432" s="765">
        <f t="shared" si="694"/>
        <v>0</v>
      </c>
      <c r="L432" s="765">
        <f t="shared" si="694"/>
        <v>0</v>
      </c>
      <c r="M432" s="765">
        <f t="shared" si="694"/>
        <v>0</v>
      </c>
      <c r="N432" s="765">
        <f t="shared" si="694"/>
        <v>0</v>
      </c>
      <c r="O432" s="765">
        <f>SUM(C432:N432)</f>
        <v>0</v>
      </c>
      <c r="P432" s="765">
        <f>P428*P430</f>
        <v>0</v>
      </c>
      <c r="Q432" s="765">
        <f t="shared" ref="Q432:AA432" si="695">Q428*Q430</f>
        <v>0</v>
      </c>
      <c r="R432" s="765">
        <f t="shared" si="695"/>
        <v>0</v>
      </c>
      <c r="S432" s="765">
        <f t="shared" si="695"/>
        <v>0</v>
      </c>
      <c r="T432" s="765">
        <f t="shared" si="695"/>
        <v>0</v>
      </c>
      <c r="U432" s="765">
        <f t="shared" si="695"/>
        <v>0</v>
      </c>
      <c r="V432" s="765">
        <f t="shared" si="695"/>
        <v>0</v>
      </c>
      <c r="W432" s="765">
        <f t="shared" si="695"/>
        <v>0</v>
      </c>
      <c r="X432" s="765">
        <f t="shared" si="695"/>
        <v>0</v>
      </c>
      <c r="Y432" s="765">
        <f t="shared" si="695"/>
        <v>0</v>
      </c>
      <c r="Z432" s="765">
        <f t="shared" si="695"/>
        <v>0</v>
      </c>
      <c r="AA432" s="765">
        <f t="shared" si="695"/>
        <v>0</v>
      </c>
      <c r="AB432" s="765">
        <f>SUM(P432:AA432)</f>
        <v>0</v>
      </c>
      <c r="AC432" s="765">
        <f t="shared" ref="AC432:AJ432" si="696">AC428*AC430</f>
        <v>0</v>
      </c>
      <c r="AD432" s="765">
        <f t="shared" si="696"/>
        <v>4127.7600000000011</v>
      </c>
      <c r="AE432" s="765">
        <f t="shared" si="696"/>
        <v>12754.778400000007</v>
      </c>
      <c r="AF432" s="765">
        <f t="shared" si="696"/>
        <v>26019.747936000014</v>
      </c>
      <c r="AG432" s="765">
        <f t="shared" si="696"/>
        <v>52559.890830720025</v>
      </c>
      <c r="AH432" s="765">
        <f t="shared" si="696"/>
        <v>78839.836246080027</v>
      </c>
      <c r="AI432" s="765">
        <f t="shared" si="696"/>
        <v>94899.802888800012</v>
      </c>
      <c r="AJ432" s="765">
        <f t="shared" si="696"/>
        <v>109499.772564</v>
      </c>
    </row>
    <row r="433" spans="1:78" s="674" customFormat="1" ht="13.15" customHeight="1" x14ac:dyDescent="0.2">
      <c r="A433" s="680"/>
      <c r="B433" s="681"/>
      <c r="C433" s="682"/>
      <c r="D433" s="682"/>
      <c r="E433" s="682"/>
      <c r="F433" s="682"/>
      <c r="G433" s="682"/>
      <c r="H433" s="682"/>
      <c r="I433" s="682"/>
      <c r="J433" s="682"/>
      <c r="K433" s="682"/>
      <c r="L433" s="682"/>
      <c r="M433" s="682"/>
      <c r="N433" s="682"/>
      <c r="O433" s="683"/>
      <c r="P433" s="682"/>
      <c r="Q433" s="682"/>
      <c r="R433" s="682"/>
      <c r="S433" s="682"/>
      <c r="T433" s="682"/>
      <c r="U433" s="682"/>
      <c r="V433" s="682"/>
      <c r="W433" s="682"/>
      <c r="X433" s="682"/>
      <c r="Y433" s="682"/>
      <c r="Z433" s="682"/>
      <c r="AA433" s="682"/>
      <c r="AB433" s="683"/>
      <c r="AC433" s="683"/>
      <c r="AD433" s="683"/>
      <c r="AE433" s="683"/>
    </row>
    <row r="434" spans="1:78" s="674" customFormat="1" ht="13.15" customHeight="1" x14ac:dyDescent="0.2">
      <c r="A434" s="680"/>
      <c r="B434" s="681"/>
      <c r="C434" s="682"/>
      <c r="D434" s="682"/>
      <c r="E434" s="682"/>
      <c r="F434" s="682"/>
      <c r="G434" s="682"/>
      <c r="H434" s="682"/>
      <c r="I434" s="682"/>
      <c r="J434" s="682"/>
      <c r="K434" s="682"/>
      <c r="L434" s="682"/>
      <c r="M434" s="682"/>
      <c r="N434" s="682"/>
      <c r="O434" s="683"/>
      <c r="P434" s="682"/>
      <c r="Q434" s="682"/>
      <c r="R434" s="682"/>
      <c r="S434" s="682"/>
      <c r="T434" s="682"/>
      <c r="U434" s="682"/>
      <c r="V434" s="682"/>
      <c r="W434" s="682"/>
      <c r="X434" s="682"/>
      <c r="Y434" s="682"/>
      <c r="Z434" s="682"/>
      <c r="AA434" s="682"/>
      <c r="AB434" s="683"/>
      <c r="AC434" s="683"/>
      <c r="AD434" s="683"/>
      <c r="AE434" s="683"/>
    </row>
    <row r="435" spans="1:78" ht="16.899999999999999" customHeight="1" thickBot="1" x14ac:dyDescent="0.25">
      <c r="A435" s="83" t="s">
        <v>273</v>
      </c>
      <c r="B435" s="84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6"/>
      <c r="P435" s="698">
        <v>41275</v>
      </c>
      <c r="Q435" s="698">
        <v>41306</v>
      </c>
      <c r="R435" s="698">
        <v>41334</v>
      </c>
      <c r="S435" s="698">
        <v>41365</v>
      </c>
      <c r="T435" s="698">
        <v>41395</v>
      </c>
      <c r="U435" s="698">
        <v>41426</v>
      </c>
      <c r="V435" s="698">
        <v>41456</v>
      </c>
      <c r="W435" s="698">
        <v>41487</v>
      </c>
      <c r="X435" s="698">
        <v>41518</v>
      </c>
      <c r="Y435" s="698">
        <v>41548</v>
      </c>
      <c r="Z435" s="698">
        <v>41579</v>
      </c>
      <c r="AA435" s="698">
        <v>41609</v>
      </c>
      <c r="AB435" s="86">
        <v>2013</v>
      </c>
      <c r="AC435" s="86">
        <v>2014</v>
      </c>
      <c r="AD435" s="87">
        <v>2015</v>
      </c>
      <c r="AE435" s="86">
        <v>2016</v>
      </c>
      <c r="AF435" s="86">
        <v>2017</v>
      </c>
      <c r="AG435" s="86">
        <v>2018</v>
      </c>
      <c r="AH435" s="86">
        <v>2019</v>
      </c>
      <c r="AI435" s="86">
        <v>2020</v>
      </c>
      <c r="AJ435" s="86">
        <v>2021</v>
      </c>
      <c r="AK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 s="579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spans="1:78" ht="12.4" customHeight="1" x14ac:dyDescent="0.2">
      <c r="A436" s="501" t="s">
        <v>57</v>
      </c>
      <c r="B436" s="502"/>
      <c r="C436" s="695">
        <f t="shared" ref="C436:N436" si="697">C27</f>
        <v>0</v>
      </c>
      <c r="D436" s="695">
        <f t="shared" si="697"/>
        <v>0</v>
      </c>
      <c r="E436" s="695">
        <f t="shared" si="697"/>
        <v>0</v>
      </c>
      <c r="F436" s="695">
        <f t="shared" si="697"/>
        <v>0</v>
      </c>
      <c r="G436" s="695">
        <f t="shared" si="697"/>
        <v>0</v>
      </c>
      <c r="H436" s="695">
        <f t="shared" si="697"/>
        <v>0</v>
      </c>
      <c r="I436" s="695">
        <f t="shared" si="697"/>
        <v>0</v>
      </c>
      <c r="J436" s="695">
        <f t="shared" si="697"/>
        <v>0</v>
      </c>
      <c r="K436" s="695">
        <f t="shared" si="697"/>
        <v>0</v>
      </c>
      <c r="L436" s="695">
        <f t="shared" si="697"/>
        <v>0</v>
      </c>
      <c r="M436" s="695">
        <f t="shared" si="697"/>
        <v>0</v>
      </c>
      <c r="N436" s="695">
        <f t="shared" si="697"/>
        <v>0</v>
      </c>
      <c r="O436" s="88">
        <f t="shared" ref="O436:O441" si="698">SUM(C436:N436)</f>
        <v>0</v>
      </c>
      <c r="P436" s="695">
        <f t="shared" ref="P436:AA436" si="699">P27</f>
        <v>267031.25</v>
      </c>
      <c r="Q436" s="695">
        <f t="shared" si="699"/>
        <v>296562.5</v>
      </c>
      <c r="R436" s="695">
        <f t="shared" si="699"/>
        <v>326093.75</v>
      </c>
      <c r="S436" s="695">
        <f t="shared" si="699"/>
        <v>355625</v>
      </c>
      <c r="T436" s="695">
        <f t="shared" si="699"/>
        <v>385156.25</v>
      </c>
      <c r="U436" s="695">
        <f t="shared" si="699"/>
        <v>414687.5</v>
      </c>
      <c r="V436" s="695">
        <f t="shared" si="699"/>
        <v>444218.75</v>
      </c>
      <c r="W436" s="695">
        <f t="shared" si="699"/>
        <v>473750</v>
      </c>
      <c r="X436" s="695">
        <f t="shared" si="699"/>
        <v>503281.25000000012</v>
      </c>
      <c r="Y436" s="695">
        <f t="shared" si="699"/>
        <v>532812.50000000012</v>
      </c>
      <c r="Z436" s="695">
        <f t="shared" si="699"/>
        <v>562343.75000000012</v>
      </c>
      <c r="AA436" s="695">
        <f t="shared" si="699"/>
        <v>591875.00000000012</v>
      </c>
      <c r="AB436" s="88">
        <f t="shared" ref="AB436:AB441" si="700">SUM(P436:AA436)</f>
        <v>5153437.5</v>
      </c>
      <c r="AC436" s="695">
        <f t="shared" ref="AC436:AJ436" si="701">AC27</f>
        <v>9547687.5000000019</v>
      </c>
      <c r="AD436" s="695">
        <f t="shared" si="701"/>
        <v>16781190.000000004</v>
      </c>
      <c r="AE436" s="695">
        <f t="shared" si="701"/>
        <v>31548251.400000006</v>
      </c>
      <c r="AF436" s="695">
        <f t="shared" si="701"/>
        <v>46758324.642000005</v>
      </c>
      <c r="AG436" s="695">
        <f t="shared" si="701"/>
        <v>56231139.124949992</v>
      </c>
      <c r="AH436" s="695">
        <f t="shared" si="701"/>
        <v>64443622.067249984</v>
      </c>
      <c r="AI436" s="695">
        <f t="shared" si="701"/>
        <v>72656105.009549975</v>
      </c>
      <c r="AJ436" s="695">
        <f t="shared" si="701"/>
        <v>80868587.951849967</v>
      </c>
      <c r="AK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 s="405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spans="1:78" ht="12.4" customHeight="1" x14ac:dyDescent="0.2">
      <c r="A437" s="664" t="s">
        <v>208</v>
      </c>
      <c r="B437" s="505"/>
      <c r="C437" s="696">
        <f t="shared" ref="C437:N437" si="702">C54</f>
        <v>0</v>
      </c>
      <c r="D437" s="696">
        <f t="shared" si="702"/>
        <v>0</v>
      </c>
      <c r="E437" s="696">
        <f t="shared" si="702"/>
        <v>0</v>
      </c>
      <c r="F437" s="696">
        <f t="shared" si="702"/>
        <v>0</v>
      </c>
      <c r="G437" s="696">
        <f t="shared" si="702"/>
        <v>0</v>
      </c>
      <c r="H437" s="696">
        <f t="shared" si="702"/>
        <v>0</v>
      </c>
      <c r="I437" s="696">
        <f t="shared" si="702"/>
        <v>0</v>
      </c>
      <c r="J437" s="696">
        <f t="shared" si="702"/>
        <v>0</v>
      </c>
      <c r="K437" s="696">
        <f t="shared" si="702"/>
        <v>0</v>
      </c>
      <c r="L437" s="696">
        <f t="shared" si="702"/>
        <v>0</v>
      </c>
      <c r="M437" s="696">
        <f t="shared" si="702"/>
        <v>0</v>
      </c>
      <c r="N437" s="696">
        <f t="shared" si="702"/>
        <v>0</v>
      </c>
      <c r="O437" s="804">
        <f t="shared" si="698"/>
        <v>0</v>
      </c>
      <c r="P437" s="696">
        <f t="shared" ref="P437:AA437" si="703">P54</f>
        <v>147968.75000000003</v>
      </c>
      <c r="Q437" s="696">
        <f t="shared" si="703"/>
        <v>170937.50000000003</v>
      </c>
      <c r="R437" s="696">
        <f t="shared" si="703"/>
        <v>193906.25000000003</v>
      </c>
      <c r="S437" s="696">
        <f t="shared" si="703"/>
        <v>216875.00000000003</v>
      </c>
      <c r="T437" s="696">
        <f t="shared" si="703"/>
        <v>239843.75000000003</v>
      </c>
      <c r="U437" s="696">
        <f t="shared" si="703"/>
        <v>262812.5</v>
      </c>
      <c r="V437" s="696">
        <f t="shared" si="703"/>
        <v>285781.25</v>
      </c>
      <c r="W437" s="696">
        <f t="shared" si="703"/>
        <v>308750</v>
      </c>
      <c r="X437" s="696">
        <f t="shared" si="703"/>
        <v>331718.75000000012</v>
      </c>
      <c r="Y437" s="696">
        <f t="shared" si="703"/>
        <v>354687.50000000012</v>
      </c>
      <c r="Z437" s="696">
        <f t="shared" si="703"/>
        <v>377656.25000000012</v>
      </c>
      <c r="AA437" s="696">
        <f t="shared" si="703"/>
        <v>400625.00000000012</v>
      </c>
      <c r="AB437" s="804">
        <f t="shared" si="700"/>
        <v>3291562.5</v>
      </c>
      <c r="AC437" s="696">
        <f t="shared" ref="AC437:AJ437" si="704">AC54</f>
        <v>6709312.5000000009</v>
      </c>
      <c r="AD437" s="696">
        <f t="shared" si="704"/>
        <v>12335370.000000006</v>
      </c>
      <c r="AE437" s="696">
        <f t="shared" si="704"/>
        <v>23820862.200000007</v>
      </c>
      <c r="AF437" s="696">
        <f t="shared" si="704"/>
        <v>35650919.166000001</v>
      </c>
      <c r="AG437" s="696">
        <f t="shared" si="704"/>
        <v>43018663.763850003</v>
      </c>
      <c r="AH437" s="696">
        <f t="shared" si="704"/>
        <v>49406150.49674999</v>
      </c>
      <c r="AI437" s="696">
        <f t="shared" si="704"/>
        <v>55793637.229649998</v>
      </c>
      <c r="AJ437" s="696">
        <f t="shared" si="704"/>
        <v>62181123.962549984</v>
      </c>
      <c r="AK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 s="405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spans="1:78" ht="13.15" customHeight="1" x14ac:dyDescent="0.2">
      <c r="A438" s="664" t="s">
        <v>46</v>
      </c>
      <c r="B438" s="505"/>
      <c r="C438" s="696">
        <f t="shared" ref="C438:N438" si="705">C81</f>
        <v>0</v>
      </c>
      <c r="D438" s="696">
        <f t="shared" si="705"/>
        <v>0</v>
      </c>
      <c r="E438" s="696">
        <f t="shared" si="705"/>
        <v>0</v>
      </c>
      <c r="F438" s="696">
        <f t="shared" si="705"/>
        <v>0</v>
      </c>
      <c r="G438" s="696">
        <f t="shared" si="705"/>
        <v>0</v>
      </c>
      <c r="H438" s="696">
        <f t="shared" si="705"/>
        <v>0</v>
      </c>
      <c r="I438" s="696">
        <f t="shared" si="705"/>
        <v>0</v>
      </c>
      <c r="J438" s="696">
        <f t="shared" si="705"/>
        <v>0</v>
      </c>
      <c r="K438" s="696">
        <f t="shared" si="705"/>
        <v>0</v>
      </c>
      <c r="L438" s="696">
        <f t="shared" si="705"/>
        <v>0</v>
      </c>
      <c r="M438" s="696">
        <f t="shared" si="705"/>
        <v>0</v>
      </c>
      <c r="N438" s="696">
        <f t="shared" si="705"/>
        <v>0</v>
      </c>
      <c r="O438" s="804">
        <f t="shared" si="698"/>
        <v>0</v>
      </c>
      <c r="P438" s="696">
        <f t="shared" ref="P438:AA438" si="706">P81</f>
        <v>401406.25000000006</v>
      </c>
      <c r="Q438" s="696">
        <f t="shared" si="706"/>
        <v>470312.50000000006</v>
      </c>
      <c r="R438" s="696">
        <f t="shared" si="706"/>
        <v>539218.75</v>
      </c>
      <c r="S438" s="696">
        <f t="shared" si="706"/>
        <v>608125</v>
      </c>
      <c r="T438" s="696">
        <f t="shared" si="706"/>
        <v>677031.25</v>
      </c>
      <c r="U438" s="696">
        <f t="shared" si="706"/>
        <v>745937.5</v>
      </c>
      <c r="V438" s="696">
        <f t="shared" si="706"/>
        <v>814843.75</v>
      </c>
      <c r="W438" s="696">
        <f t="shared" si="706"/>
        <v>883750</v>
      </c>
      <c r="X438" s="696">
        <f t="shared" si="706"/>
        <v>952656.25</v>
      </c>
      <c r="Y438" s="696">
        <f t="shared" si="706"/>
        <v>1021562.5</v>
      </c>
      <c r="Z438" s="696">
        <f t="shared" si="706"/>
        <v>1090468.75</v>
      </c>
      <c r="AA438" s="696">
        <f t="shared" si="706"/>
        <v>1159375</v>
      </c>
      <c r="AB438" s="804">
        <f t="shared" si="700"/>
        <v>9364687.5</v>
      </c>
      <c r="AC438" s="696">
        <f t="shared" ref="AC438:AJ438" si="707">AC81</f>
        <v>19617937.5</v>
      </c>
      <c r="AD438" s="696">
        <f t="shared" si="707"/>
        <v>31078425</v>
      </c>
      <c r="AE438" s="696">
        <f t="shared" si="707"/>
        <v>43051508.850000001</v>
      </c>
      <c r="AF438" s="696">
        <f t="shared" si="707"/>
        <v>55216378.749000013</v>
      </c>
      <c r="AG438" s="696">
        <f t="shared" si="707"/>
        <v>66267995.64577499</v>
      </c>
      <c r="AH438" s="696">
        <f t="shared" si="707"/>
        <v>75849225.745125011</v>
      </c>
      <c r="AI438" s="696">
        <f t="shared" si="707"/>
        <v>85430455.844475016</v>
      </c>
      <c r="AJ438" s="696">
        <f t="shared" si="707"/>
        <v>95011685.943825006</v>
      </c>
      <c r="AK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 s="405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spans="1:78" s="20" customFormat="1" ht="13.15" customHeight="1" x14ac:dyDescent="0.2">
      <c r="A439" s="664" t="s">
        <v>416</v>
      </c>
      <c r="B439" s="505"/>
      <c r="C439" s="696">
        <f t="shared" ref="C439:N439" si="708">C108</f>
        <v>0</v>
      </c>
      <c r="D439" s="696">
        <f t="shared" si="708"/>
        <v>0</v>
      </c>
      <c r="E439" s="696">
        <f t="shared" si="708"/>
        <v>0</v>
      </c>
      <c r="F439" s="696">
        <f t="shared" si="708"/>
        <v>0</v>
      </c>
      <c r="G439" s="696">
        <f t="shared" si="708"/>
        <v>0</v>
      </c>
      <c r="H439" s="696">
        <f t="shared" si="708"/>
        <v>0</v>
      </c>
      <c r="I439" s="696">
        <f t="shared" si="708"/>
        <v>0</v>
      </c>
      <c r="J439" s="696">
        <f t="shared" si="708"/>
        <v>0</v>
      </c>
      <c r="K439" s="696">
        <f t="shared" si="708"/>
        <v>0</v>
      </c>
      <c r="L439" s="696">
        <f t="shared" si="708"/>
        <v>0</v>
      </c>
      <c r="M439" s="696">
        <f t="shared" si="708"/>
        <v>0</v>
      </c>
      <c r="N439" s="696">
        <f t="shared" si="708"/>
        <v>0</v>
      </c>
      <c r="O439" s="804">
        <f t="shared" si="698"/>
        <v>0</v>
      </c>
      <c r="P439" s="696">
        <f t="shared" ref="P439:AA439" si="709">P108</f>
        <v>0</v>
      </c>
      <c r="Q439" s="696">
        <f t="shared" si="709"/>
        <v>0</v>
      </c>
      <c r="R439" s="696">
        <f t="shared" si="709"/>
        <v>0</v>
      </c>
      <c r="S439" s="696">
        <f t="shared" si="709"/>
        <v>0</v>
      </c>
      <c r="T439" s="696">
        <f t="shared" si="709"/>
        <v>0</v>
      </c>
      <c r="U439" s="696">
        <f t="shared" si="709"/>
        <v>0</v>
      </c>
      <c r="V439" s="696">
        <f t="shared" si="709"/>
        <v>14765.625</v>
      </c>
      <c r="W439" s="696">
        <f t="shared" si="709"/>
        <v>29531.25</v>
      </c>
      <c r="X439" s="696">
        <f t="shared" si="709"/>
        <v>44296.875</v>
      </c>
      <c r="Y439" s="696">
        <f t="shared" si="709"/>
        <v>59062.5</v>
      </c>
      <c r="Z439" s="696">
        <f t="shared" si="709"/>
        <v>73828.125</v>
      </c>
      <c r="AA439" s="696">
        <f t="shared" si="709"/>
        <v>88593.75</v>
      </c>
      <c r="AB439" s="804">
        <f t="shared" si="700"/>
        <v>310078.125</v>
      </c>
      <c r="AC439" s="696">
        <f t="shared" ref="AC439:AJ439" si="710">AC108</f>
        <v>2232562.5</v>
      </c>
      <c r="AD439" s="696">
        <f t="shared" si="710"/>
        <v>5224196.25</v>
      </c>
      <c r="AE439" s="696">
        <f t="shared" si="710"/>
        <v>10761844.274999999</v>
      </c>
      <c r="AF439" s="696">
        <f t="shared" si="710"/>
        <v>18498414.548249997</v>
      </c>
      <c r="AG439" s="696">
        <f t="shared" si="710"/>
        <v>24637448.826899998</v>
      </c>
      <c r="AH439" s="696">
        <f t="shared" si="710"/>
        <v>28743690.298049998</v>
      </c>
      <c r="AI439" s="696">
        <f t="shared" si="710"/>
        <v>32849931.769199986</v>
      </c>
      <c r="AJ439" s="696">
        <f t="shared" si="710"/>
        <v>36956173.240349993</v>
      </c>
      <c r="AK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405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</row>
    <row r="440" spans="1:78" s="20" customFormat="1" ht="13.15" customHeight="1" x14ac:dyDescent="0.2">
      <c r="A440" s="664" t="s">
        <v>417</v>
      </c>
      <c r="B440" s="505"/>
      <c r="C440" s="696">
        <f t="shared" ref="C440:N440" si="711">C135</f>
        <v>0</v>
      </c>
      <c r="D440" s="696">
        <f t="shared" si="711"/>
        <v>0</v>
      </c>
      <c r="E440" s="696">
        <f t="shared" si="711"/>
        <v>0</v>
      </c>
      <c r="F440" s="696">
        <f t="shared" si="711"/>
        <v>0</v>
      </c>
      <c r="G440" s="696">
        <f t="shared" si="711"/>
        <v>0</v>
      </c>
      <c r="H440" s="696">
        <f t="shared" si="711"/>
        <v>0</v>
      </c>
      <c r="I440" s="696">
        <f t="shared" si="711"/>
        <v>0</v>
      </c>
      <c r="J440" s="696">
        <f t="shared" si="711"/>
        <v>0</v>
      </c>
      <c r="K440" s="696">
        <f t="shared" si="711"/>
        <v>0</v>
      </c>
      <c r="L440" s="696">
        <f t="shared" si="711"/>
        <v>0</v>
      </c>
      <c r="M440" s="696">
        <f t="shared" si="711"/>
        <v>0</v>
      </c>
      <c r="N440" s="696">
        <f t="shared" si="711"/>
        <v>0</v>
      </c>
      <c r="O440" s="804">
        <f t="shared" si="698"/>
        <v>0</v>
      </c>
      <c r="P440" s="696">
        <f t="shared" ref="P440:AA440" si="712">P135</f>
        <v>0</v>
      </c>
      <c r="Q440" s="696">
        <f t="shared" si="712"/>
        <v>0</v>
      </c>
      <c r="R440" s="696">
        <f t="shared" si="712"/>
        <v>0</v>
      </c>
      <c r="S440" s="696">
        <f t="shared" si="712"/>
        <v>0</v>
      </c>
      <c r="T440" s="696">
        <f t="shared" si="712"/>
        <v>0</v>
      </c>
      <c r="U440" s="696">
        <f t="shared" si="712"/>
        <v>0</v>
      </c>
      <c r="V440" s="696">
        <f t="shared" si="712"/>
        <v>4593.75</v>
      </c>
      <c r="W440" s="696">
        <f t="shared" si="712"/>
        <v>9187.5</v>
      </c>
      <c r="X440" s="696">
        <f t="shared" si="712"/>
        <v>13781.25</v>
      </c>
      <c r="Y440" s="696">
        <f t="shared" si="712"/>
        <v>18375</v>
      </c>
      <c r="Z440" s="696">
        <f t="shared" si="712"/>
        <v>22968.75</v>
      </c>
      <c r="AA440" s="696">
        <f t="shared" si="712"/>
        <v>27562.5</v>
      </c>
      <c r="AB440" s="804">
        <f t="shared" si="700"/>
        <v>96468.75</v>
      </c>
      <c r="AC440" s="696">
        <f t="shared" ref="AC440:AJ440" si="713">AC135</f>
        <v>694575</v>
      </c>
      <c r="AD440" s="696">
        <f t="shared" si="713"/>
        <v>1625305.4999999998</v>
      </c>
      <c r="AE440" s="696">
        <f t="shared" si="713"/>
        <v>3348129.33</v>
      </c>
      <c r="AF440" s="696">
        <f t="shared" si="713"/>
        <v>5755062.3038999997</v>
      </c>
      <c r="AG440" s="696">
        <f t="shared" si="713"/>
        <v>7664984.0794799998</v>
      </c>
      <c r="AH440" s="696">
        <f t="shared" si="713"/>
        <v>8942481.4260600004</v>
      </c>
      <c r="AI440" s="696">
        <f t="shared" si="713"/>
        <v>10219978.772639999</v>
      </c>
      <c r="AJ440" s="696">
        <f t="shared" si="713"/>
        <v>11497476.11922</v>
      </c>
      <c r="AK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405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</row>
    <row r="441" spans="1:78" s="20" customFormat="1" ht="13.15" customHeight="1" x14ac:dyDescent="0.2">
      <c r="A441" s="664" t="s">
        <v>418</v>
      </c>
      <c r="B441" s="505"/>
      <c r="C441" s="696">
        <f t="shared" ref="C441:N441" si="714">C162</f>
        <v>0</v>
      </c>
      <c r="D441" s="696">
        <f t="shared" si="714"/>
        <v>0</v>
      </c>
      <c r="E441" s="696">
        <f t="shared" si="714"/>
        <v>0</v>
      </c>
      <c r="F441" s="696">
        <f t="shared" si="714"/>
        <v>0</v>
      </c>
      <c r="G441" s="696">
        <f t="shared" si="714"/>
        <v>0</v>
      </c>
      <c r="H441" s="696">
        <f t="shared" si="714"/>
        <v>0</v>
      </c>
      <c r="I441" s="696">
        <f t="shared" si="714"/>
        <v>0</v>
      </c>
      <c r="J441" s="696">
        <f t="shared" si="714"/>
        <v>0</v>
      </c>
      <c r="K441" s="696">
        <f t="shared" si="714"/>
        <v>0</v>
      </c>
      <c r="L441" s="696">
        <f t="shared" si="714"/>
        <v>0</v>
      </c>
      <c r="M441" s="696">
        <f t="shared" si="714"/>
        <v>0</v>
      </c>
      <c r="N441" s="696">
        <f t="shared" si="714"/>
        <v>0</v>
      </c>
      <c r="O441" s="804">
        <f t="shared" si="698"/>
        <v>0</v>
      </c>
      <c r="P441" s="696">
        <f t="shared" ref="P441:AA441" si="715">P162</f>
        <v>0</v>
      </c>
      <c r="Q441" s="696">
        <f t="shared" si="715"/>
        <v>0</v>
      </c>
      <c r="R441" s="696">
        <f t="shared" si="715"/>
        <v>0</v>
      </c>
      <c r="S441" s="696">
        <f t="shared" si="715"/>
        <v>0</v>
      </c>
      <c r="T441" s="696">
        <f t="shared" si="715"/>
        <v>0</v>
      </c>
      <c r="U441" s="696">
        <f t="shared" si="715"/>
        <v>0</v>
      </c>
      <c r="V441" s="696">
        <f t="shared" si="715"/>
        <v>4134.375</v>
      </c>
      <c r="W441" s="696">
        <f t="shared" si="715"/>
        <v>8268.75</v>
      </c>
      <c r="X441" s="696">
        <f t="shared" si="715"/>
        <v>12403.125</v>
      </c>
      <c r="Y441" s="696">
        <f t="shared" si="715"/>
        <v>16537.5</v>
      </c>
      <c r="Z441" s="696">
        <f t="shared" si="715"/>
        <v>20671.875</v>
      </c>
      <c r="AA441" s="696">
        <f t="shared" si="715"/>
        <v>24806.25</v>
      </c>
      <c r="AB441" s="804">
        <f t="shared" si="700"/>
        <v>86821.875</v>
      </c>
      <c r="AC441" s="696">
        <f t="shared" ref="AC441:AJ441" si="716">AC162</f>
        <v>625117.5</v>
      </c>
      <c r="AD441" s="696">
        <f t="shared" si="716"/>
        <v>1462774.9499999997</v>
      </c>
      <c r="AE441" s="696">
        <f t="shared" si="716"/>
        <v>3013316.3969999999</v>
      </c>
      <c r="AF441" s="696">
        <f t="shared" si="716"/>
        <v>5179556.0735100005</v>
      </c>
      <c r="AG441" s="696">
        <f t="shared" si="716"/>
        <v>6898485.6715320004</v>
      </c>
      <c r="AH441" s="696">
        <f t="shared" si="716"/>
        <v>8048233.2834540019</v>
      </c>
      <c r="AI441" s="696">
        <f t="shared" si="716"/>
        <v>9197980.8953760006</v>
      </c>
      <c r="AJ441" s="696">
        <f t="shared" si="716"/>
        <v>10347728.507298002</v>
      </c>
      <c r="AK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405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</row>
    <row r="442" spans="1:78" s="20" customFormat="1" ht="13.15" customHeight="1" x14ac:dyDescent="0.2">
      <c r="A442" s="664" t="s">
        <v>430</v>
      </c>
      <c r="B442" s="505"/>
      <c r="C442" s="696">
        <f t="shared" ref="C442:AJ442" si="717">C189</f>
        <v>0</v>
      </c>
      <c r="D442" s="696">
        <f t="shared" si="717"/>
        <v>0</v>
      </c>
      <c r="E442" s="696">
        <f t="shared" si="717"/>
        <v>0</v>
      </c>
      <c r="F442" s="696">
        <f t="shared" si="717"/>
        <v>0</v>
      </c>
      <c r="G442" s="696">
        <f t="shared" si="717"/>
        <v>0</v>
      </c>
      <c r="H442" s="696">
        <f t="shared" si="717"/>
        <v>0</v>
      </c>
      <c r="I442" s="696">
        <f t="shared" si="717"/>
        <v>0</v>
      </c>
      <c r="J442" s="696">
        <f t="shared" si="717"/>
        <v>0</v>
      </c>
      <c r="K442" s="696">
        <f t="shared" si="717"/>
        <v>0</v>
      </c>
      <c r="L442" s="696">
        <f t="shared" si="717"/>
        <v>0</v>
      </c>
      <c r="M442" s="696">
        <f t="shared" si="717"/>
        <v>0</v>
      </c>
      <c r="N442" s="696">
        <f t="shared" si="717"/>
        <v>0</v>
      </c>
      <c r="O442" s="696">
        <f t="shared" si="717"/>
        <v>0</v>
      </c>
      <c r="P442" s="696">
        <f t="shared" si="717"/>
        <v>0</v>
      </c>
      <c r="Q442" s="696">
        <f t="shared" si="717"/>
        <v>0</v>
      </c>
      <c r="R442" s="696">
        <f t="shared" si="717"/>
        <v>0</v>
      </c>
      <c r="S442" s="696">
        <f t="shared" si="717"/>
        <v>0</v>
      </c>
      <c r="T442" s="696">
        <f t="shared" si="717"/>
        <v>0</v>
      </c>
      <c r="U442" s="696">
        <f t="shared" si="717"/>
        <v>0</v>
      </c>
      <c r="V442" s="696">
        <f t="shared" si="717"/>
        <v>0</v>
      </c>
      <c r="W442" s="696">
        <f t="shared" si="717"/>
        <v>0</v>
      </c>
      <c r="X442" s="696">
        <f t="shared" si="717"/>
        <v>0</v>
      </c>
      <c r="Y442" s="696">
        <f t="shared" si="717"/>
        <v>0</v>
      </c>
      <c r="Z442" s="696">
        <f t="shared" si="717"/>
        <v>0</v>
      </c>
      <c r="AA442" s="696">
        <f t="shared" si="717"/>
        <v>0</v>
      </c>
      <c r="AB442" s="696">
        <f t="shared" si="717"/>
        <v>0</v>
      </c>
      <c r="AC442" s="696">
        <f t="shared" si="717"/>
        <v>297675.00000000012</v>
      </c>
      <c r="AD442" s="696">
        <f t="shared" si="717"/>
        <v>928746.00000000035</v>
      </c>
      <c r="AE442" s="696">
        <f t="shared" si="717"/>
        <v>1913216.7600000007</v>
      </c>
      <c r="AF442" s="696">
        <f t="shared" si="717"/>
        <v>3902962.1904000011</v>
      </c>
      <c r="AG442" s="696">
        <f t="shared" si="717"/>
        <v>5912987.718456002</v>
      </c>
      <c r="AH442" s="696">
        <f t="shared" si="717"/>
        <v>7117485.2166600022</v>
      </c>
      <c r="AI442" s="696">
        <f t="shared" si="717"/>
        <v>8212482.9423000002</v>
      </c>
      <c r="AJ442" s="696">
        <f t="shared" si="717"/>
        <v>9307480.6679400001</v>
      </c>
      <c r="AK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405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</row>
    <row r="443" spans="1:78" s="20" customFormat="1" ht="13.15" customHeight="1" x14ac:dyDescent="0.2">
      <c r="A443" s="664" t="s">
        <v>431</v>
      </c>
      <c r="B443" s="505"/>
      <c r="C443" s="696">
        <f t="shared" ref="C443:AJ443" si="718">C216</f>
        <v>0</v>
      </c>
      <c r="D443" s="696">
        <f t="shared" si="718"/>
        <v>0</v>
      </c>
      <c r="E443" s="696">
        <f t="shared" si="718"/>
        <v>0</v>
      </c>
      <c r="F443" s="696">
        <f t="shared" si="718"/>
        <v>0</v>
      </c>
      <c r="G443" s="696">
        <f t="shared" si="718"/>
        <v>0</v>
      </c>
      <c r="H443" s="696">
        <f t="shared" si="718"/>
        <v>0</v>
      </c>
      <c r="I443" s="696">
        <f t="shared" si="718"/>
        <v>0</v>
      </c>
      <c r="J443" s="696">
        <f t="shared" si="718"/>
        <v>0</v>
      </c>
      <c r="K443" s="696">
        <f t="shared" si="718"/>
        <v>0</v>
      </c>
      <c r="L443" s="696">
        <f t="shared" si="718"/>
        <v>0</v>
      </c>
      <c r="M443" s="696">
        <f t="shared" si="718"/>
        <v>0</v>
      </c>
      <c r="N443" s="696">
        <f t="shared" si="718"/>
        <v>0</v>
      </c>
      <c r="O443" s="696">
        <f t="shared" si="718"/>
        <v>0</v>
      </c>
      <c r="P443" s="696">
        <f t="shared" si="718"/>
        <v>0</v>
      </c>
      <c r="Q443" s="696">
        <f t="shared" si="718"/>
        <v>0</v>
      </c>
      <c r="R443" s="696">
        <f t="shared" si="718"/>
        <v>0</v>
      </c>
      <c r="S443" s="696">
        <f t="shared" si="718"/>
        <v>0</v>
      </c>
      <c r="T443" s="696">
        <f t="shared" si="718"/>
        <v>0</v>
      </c>
      <c r="U443" s="696">
        <f t="shared" si="718"/>
        <v>0</v>
      </c>
      <c r="V443" s="696">
        <f t="shared" si="718"/>
        <v>0</v>
      </c>
      <c r="W443" s="696">
        <f t="shared" si="718"/>
        <v>0</v>
      </c>
      <c r="X443" s="696">
        <f t="shared" si="718"/>
        <v>0</v>
      </c>
      <c r="Y443" s="696">
        <f t="shared" si="718"/>
        <v>0</v>
      </c>
      <c r="Z443" s="696">
        <f t="shared" si="718"/>
        <v>0</v>
      </c>
      <c r="AA443" s="696">
        <f t="shared" si="718"/>
        <v>0</v>
      </c>
      <c r="AB443" s="696">
        <f t="shared" si="718"/>
        <v>0</v>
      </c>
      <c r="AC443" s="696">
        <f t="shared" si="718"/>
        <v>238140.00000000009</v>
      </c>
      <c r="AD443" s="696">
        <f t="shared" si="718"/>
        <v>742996.80000000028</v>
      </c>
      <c r="AE443" s="696">
        <f t="shared" si="718"/>
        <v>1530573.4080000005</v>
      </c>
      <c r="AF443" s="696">
        <f t="shared" si="718"/>
        <v>3122369.7523200009</v>
      </c>
      <c r="AG443" s="696">
        <f t="shared" si="718"/>
        <v>4730390.1747648017</v>
      </c>
      <c r="AH443" s="696">
        <f t="shared" si="718"/>
        <v>5693988.1733280011</v>
      </c>
      <c r="AI443" s="696">
        <f t="shared" si="718"/>
        <v>6569986.35384</v>
      </c>
      <c r="AJ443" s="696">
        <f t="shared" si="718"/>
        <v>7445984.5343519999</v>
      </c>
      <c r="AK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405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</row>
    <row r="444" spans="1:78" s="20" customFormat="1" ht="13.15" customHeight="1" x14ac:dyDescent="0.2">
      <c r="A444" s="664" t="s">
        <v>432</v>
      </c>
      <c r="B444" s="505"/>
      <c r="C444" s="696">
        <f t="shared" ref="C444:AJ444" si="719">C243</f>
        <v>0</v>
      </c>
      <c r="D444" s="696">
        <f t="shared" si="719"/>
        <v>0</v>
      </c>
      <c r="E444" s="696">
        <f t="shared" si="719"/>
        <v>0</v>
      </c>
      <c r="F444" s="696">
        <f t="shared" si="719"/>
        <v>0</v>
      </c>
      <c r="G444" s="696">
        <f t="shared" si="719"/>
        <v>0</v>
      </c>
      <c r="H444" s="696">
        <f t="shared" si="719"/>
        <v>0</v>
      </c>
      <c r="I444" s="696">
        <f t="shared" si="719"/>
        <v>0</v>
      </c>
      <c r="J444" s="696">
        <f t="shared" si="719"/>
        <v>0</v>
      </c>
      <c r="K444" s="696">
        <f t="shared" si="719"/>
        <v>0</v>
      </c>
      <c r="L444" s="696">
        <f t="shared" si="719"/>
        <v>0</v>
      </c>
      <c r="M444" s="696">
        <f t="shared" si="719"/>
        <v>0</v>
      </c>
      <c r="N444" s="696">
        <f t="shared" si="719"/>
        <v>0</v>
      </c>
      <c r="O444" s="696">
        <f t="shared" si="719"/>
        <v>0</v>
      </c>
      <c r="P444" s="696">
        <f t="shared" si="719"/>
        <v>0</v>
      </c>
      <c r="Q444" s="696">
        <f t="shared" si="719"/>
        <v>0</v>
      </c>
      <c r="R444" s="696">
        <f t="shared" si="719"/>
        <v>0</v>
      </c>
      <c r="S444" s="696">
        <f t="shared" si="719"/>
        <v>0</v>
      </c>
      <c r="T444" s="696">
        <f t="shared" si="719"/>
        <v>0</v>
      </c>
      <c r="U444" s="696">
        <f t="shared" si="719"/>
        <v>0</v>
      </c>
      <c r="V444" s="696">
        <f t="shared" si="719"/>
        <v>0</v>
      </c>
      <c r="W444" s="696">
        <f t="shared" si="719"/>
        <v>0</v>
      </c>
      <c r="X444" s="696">
        <f t="shared" si="719"/>
        <v>0</v>
      </c>
      <c r="Y444" s="696">
        <f t="shared" si="719"/>
        <v>0</v>
      </c>
      <c r="Z444" s="696">
        <f t="shared" si="719"/>
        <v>0</v>
      </c>
      <c r="AA444" s="696">
        <f t="shared" si="719"/>
        <v>0</v>
      </c>
      <c r="AB444" s="696">
        <f t="shared" si="719"/>
        <v>0</v>
      </c>
      <c r="AC444" s="696">
        <f t="shared" si="719"/>
        <v>133953.75000000003</v>
      </c>
      <c r="AD444" s="696">
        <f t="shared" si="719"/>
        <v>417935.70000000019</v>
      </c>
      <c r="AE444" s="696">
        <f t="shared" si="719"/>
        <v>860947.54200000025</v>
      </c>
      <c r="AF444" s="696">
        <f t="shared" si="719"/>
        <v>1756332.9856800009</v>
      </c>
      <c r="AG444" s="696">
        <f t="shared" si="719"/>
        <v>2660844.4733052007</v>
      </c>
      <c r="AH444" s="696">
        <f t="shared" si="719"/>
        <v>3202868.3474970004</v>
      </c>
      <c r="AI444" s="696">
        <f t="shared" si="719"/>
        <v>3695617.3240350001</v>
      </c>
      <c r="AJ444" s="696">
        <f t="shared" si="719"/>
        <v>4188366.3005730007</v>
      </c>
      <c r="AK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405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</row>
    <row r="445" spans="1:78" s="20" customFormat="1" ht="13.15" customHeight="1" x14ac:dyDescent="0.2">
      <c r="A445" s="664" t="s">
        <v>433</v>
      </c>
      <c r="B445" s="505"/>
      <c r="C445" s="696">
        <f t="shared" ref="C445:AJ445" si="720">C270</f>
        <v>0</v>
      </c>
      <c r="D445" s="696">
        <f t="shared" si="720"/>
        <v>0</v>
      </c>
      <c r="E445" s="696">
        <f t="shared" si="720"/>
        <v>0</v>
      </c>
      <c r="F445" s="696">
        <f t="shared" si="720"/>
        <v>0</v>
      </c>
      <c r="G445" s="696">
        <f t="shared" si="720"/>
        <v>0</v>
      </c>
      <c r="H445" s="696">
        <f t="shared" si="720"/>
        <v>0</v>
      </c>
      <c r="I445" s="696">
        <f t="shared" si="720"/>
        <v>0</v>
      </c>
      <c r="J445" s="696">
        <f t="shared" si="720"/>
        <v>0</v>
      </c>
      <c r="K445" s="696">
        <f t="shared" si="720"/>
        <v>0</v>
      </c>
      <c r="L445" s="696">
        <f t="shared" si="720"/>
        <v>0</v>
      </c>
      <c r="M445" s="696">
        <f t="shared" si="720"/>
        <v>0</v>
      </c>
      <c r="N445" s="696">
        <f t="shared" si="720"/>
        <v>0</v>
      </c>
      <c r="O445" s="696">
        <f t="shared" si="720"/>
        <v>0</v>
      </c>
      <c r="P445" s="696">
        <f t="shared" si="720"/>
        <v>0</v>
      </c>
      <c r="Q445" s="696">
        <f t="shared" si="720"/>
        <v>0</v>
      </c>
      <c r="R445" s="696">
        <f t="shared" si="720"/>
        <v>0</v>
      </c>
      <c r="S445" s="696">
        <f t="shared" si="720"/>
        <v>0</v>
      </c>
      <c r="T445" s="696">
        <f t="shared" si="720"/>
        <v>0</v>
      </c>
      <c r="U445" s="696">
        <f t="shared" si="720"/>
        <v>0</v>
      </c>
      <c r="V445" s="696">
        <f t="shared" si="720"/>
        <v>0</v>
      </c>
      <c r="W445" s="696">
        <f t="shared" si="720"/>
        <v>0</v>
      </c>
      <c r="X445" s="696">
        <f t="shared" si="720"/>
        <v>0</v>
      </c>
      <c r="Y445" s="696">
        <f t="shared" si="720"/>
        <v>0</v>
      </c>
      <c r="Z445" s="696">
        <f t="shared" si="720"/>
        <v>0</v>
      </c>
      <c r="AA445" s="696">
        <f t="shared" si="720"/>
        <v>0</v>
      </c>
      <c r="AB445" s="696">
        <f t="shared" si="720"/>
        <v>0</v>
      </c>
      <c r="AC445" s="696">
        <f t="shared" si="720"/>
        <v>58294.6875</v>
      </c>
      <c r="AD445" s="696">
        <f t="shared" si="720"/>
        <v>242505.90000000002</v>
      </c>
      <c r="AE445" s="696">
        <f t="shared" si="720"/>
        <v>562007.42324999999</v>
      </c>
      <c r="AF445" s="696">
        <f t="shared" si="720"/>
        <v>1146495.1434299999</v>
      </c>
      <c r="AG445" s="696">
        <f t="shared" si="720"/>
        <v>1951377.1969009503</v>
      </c>
      <c r="AH445" s="696">
        <f t="shared" si="720"/>
        <v>2573244.6552539999</v>
      </c>
      <c r="AI445" s="696">
        <f t="shared" si="720"/>
        <v>3002118.7644630005</v>
      </c>
      <c r="AJ445" s="696">
        <f t="shared" si="720"/>
        <v>3430992.8736720001</v>
      </c>
      <c r="AK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405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</row>
    <row r="446" spans="1:78" s="20" customFormat="1" ht="13.15" customHeight="1" x14ac:dyDescent="0.2">
      <c r="A446" s="664" t="s">
        <v>434</v>
      </c>
      <c r="B446" s="505"/>
      <c r="C446" s="696">
        <f t="shared" ref="C446:AJ446" si="721">C297</f>
        <v>0</v>
      </c>
      <c r="D446" s="696">
        <f t="shared" si="721"/>
        <v>0</v>
      </c>
      <c r="E446" s="696">
        <f t="shared" si="721"/>
        <v>0</v>
      </c>
      <c r="F446" s="696">
        <f t="shared" si="721"/>
        <v>0</v>
      </c>
      <c r="G446" s="696">
        <f t="shared" si="721"/>
        <v>0</v>
      </c>
      <c r="H446" s="696">
        <f t="shared" si="721"/>
        <v>0</v>
      </c>
      <c r="I446" s="696">
        <f t="shared" si="721"/>
        <v>0</v>
      </c>
      <c r="J446" s="696">
        <f t="shared" si="721"/>
        <v>0</v>
      </c>
      <c r="K446" s="696">
        <f t="shared" si="721"/>
        <v>0</v>
      </c>
      <c r="L446" s="696">
        <f t="shared" si="721"/>
        <v>0</v>
      </c>
      <c r="M446" s="696">
        <f t="shared" si="721"/>
        <v>0</v>
      </c>
      <c r="N446" s="696">
        <f t="shared" si="721"/>
        <v>0</v>
      </c>
      <c r="O446" s="696">
        <f t="shared" si="721"/>
        <v>0</v>
      </c>
      <c r="P446" s="696">
        <f t="shared" si="721"/>
        <v>0</v>
      </c>
      <c r="Q446" s="696">
        <f t="shared" si="721"/>
        <v>0</v>
      </c>
      <c r="R446" s="696">
        <f t="shared" si="721"/>
        <v>0</v>
      </c>
      <c r="S446" s="696">
        <f t="shared" si="721"/>
        <v>0</v>
      </c>
      <c r="T446" s="696">
        <f t="shared" si="721"/>
        <v>0</v>
      </c>
      <c r="U446" s="696">
        <f t="shared" si="721"/>
        <v>0</v>
      </c>
      <c r="V446" s="696">
        <f t="shared" si="721"/>
        <v>0</v>
      </c>
      <c r="W446" s="696">
        <f t="shared" si="721"/>
        <v>0</v>
      </c>
      <c r="X446" s="696">
        <f t="shared" si="721"/>
        <v>0</v>
      </c>
      <c r="Y446" s="696">
        <f t="shared" si="721"/>
        <v>0</v>
      </c>
      <c r="Z446" s="696">
        <f t="shared" si="721"/>
        <v>0</v>
      </c>
      <c r="AA446" s="696">
        <f t="shared" si="721"/>
        <v>0</v>
      </c>
      <c r="AB446" s="696">
        <f t="shared" si="721"/>
        <v>0</v>
      </c>
      <c r="AC446" s="696">
        <f t="shared" si="721"/>
        <v>31050</v>
      </c>
      <c r="AD446" s="696">
        <f t="shared" si="721"/>
        <v>136620</v>
      </c>
      <c r="AE446" s="696">
        <f t="shared" si="721"/>
        <v>338134.49999999994</v>
      </c>
      <c r="AF446" s="696">
        <f t="shared" si="721"/>
        <v>726989.17499999993</v>
      </c>
      <c r="AG446" s="696">
        <f t="shared" si="721"/>
        <v>1286366.9568749999</v>
      </c>
      <c r="AH446" s="696">
        <f t="shared" si="721"/>
        <v>1764160.3980000003</v>
      </c>
      <c r="AI446" s="696">
        <f t="shared" si="721"/>
        <v>2140514.6162400004</v>
      </c>
      <c r="AJ446" s="696">
        <f t="shared" si="721"/>
        <v>2544154.5153023996</v>
      </c>
      <c r="AK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405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</row>
    <row r="447" spans="1:78" s="20" customFormat="1" ht="13.15" customHeight="1" x14ac:dyDescent="0.2">
      <c r="A447" s="664" t="s">
        <v>435</v>
      </c>
      <c r="B447" s="505"/>
      <c r="C447" s="696">
        <f t="shared" ref="C447:AJ447" si="722">C324</f>
        <v>0</v>
      </c>
      <c r="D447" s="696">
        <f t="shared" si="722"/>
        <v>0</v>
      </c>
      <c r="E447" s="696">
        <f t="shared" si="722"/>
        <v>0</v>
      </c>
      <c r="F447" s="696">
        <f t="shared" si="722"/>
        <v>0</v>
      </c>
      <c r="G447" s="696">
        <f t="shared" si="722"/>
        <v>0</v>
      </c>
      <c r="H447" s="696">
        <f t="shared" si="722"/>
        <v>0</v>
      </c>
      <c r="I447" s="696">
        <f t="shared" si="722"/>
        <v>0</v>
      </c>
      <c r="J447" s="696">
        <f t="shared" si="722"/>
        <v>0</v>
      </c>
      <c r="K447" s="696">
        <f t="shared" si="722"/>
        <v>0</v>
      </c>
      <c r="L447" s="696">
        <f t="shared" si="722"/>
        <v>0</v>
      </c>
      <c r="M447" s="696">
        <f t="shared" si="722"/>
        <v>0</v>
      </c>
      <c r="N447" s="696">
        <f t="shared" si="722"/>
        <v>0</v>
      </c>
      <c r="O447" s="696">
        <f t="shared" si="722"/>
        <v>0</v>
      </c>
      <c r="P447" s="696">
        <f t="shared" si="722"/>
        <v>0</v>
      </c>
      <c r="Q447" s="696">
        <f t="shared" si="722"/>
        <v>0</v>
      </c>
      <c r="R447" s="696">
        <f t="shared" si="722"/>
        <v>0</v>
      </c>
      <c r="S447" s="696">
        <f t="shared" si="722"/>
        <v>0</v>
      </c>
      <c r="T447" s="696">
        <f t="shared" si="722"/>
        <v>0</v>
      </c>
      <c r="U447" s="696">
        <f t="shared" si="722"/>
        <v>0</v>
      </c>
      <c r="V447" s="696">
        <f t="shared" si="722"/>
        <v>0</v>
      </c>
      <c r="W447" s="696">
        <f t="shared" si="722"/>
        <v>0</v>
      </c>
      <c r="X447" s="696">
        <f t="shared" si="722"/>
        <v>0</v>
      </c>
      <c r="Y447" s="696">
        <f t="shared" si="722"/>
        <v>0</v>
      </c>
      <c r="Z447" s="696">
        <f t="shared" si="722"/>
        <v>0</v>
      </c>
      <c r="AA447" s="696">
        <f t="shared" si="722"/>
        <v>0</v>
      </c>
      <c r="AB447" s="696">
        <f t="shared" si="722"/>
        <v>0</v>
      </c>
      <c r="AC447" s="696">
        <f t="shared" si="722"/>
        <v>34232.625000000007</v>
      </c>
      <c r="AD447" s="696">
        <f t="shared" si="722"/>
        <v>142407.72</v>
      </c>
      <c r="AE447" s="696">
        <f t="shared" si="722"/>
        <v>330029.89109999995</v>
      </c>
      <c r="AF447" s="696">
        <f t="shared" si="722"/>
        <v>673260.97784399998</v>
      </c>
      <c r="AG447" s="696">
        <f t="shared" si="722"/>
        <v>1145915.11988226</v>
      </c>
      <c r="AH447" s="696">
        <f t="shared" si="722"/>
        <v>1511096.8613832002</v>
      </c>
      <c r="AI447" s="696">
        <f t="shared" si="722"/>
        <v>1762946.3382804005</v>
      </c>
      <c r="AJ447" s="696">
        <f t="shared" si="722"/>
        <v>2014795.8151775997</v>
      </c>
      <c r="AK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405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</row>
    <row r="448" spans="1:78" s="20" customFormat="1" ht="13.15" customHeight="1" x14ac:dyDescent="0.2">
      <c r="A448" s="664" t="s">
        <v>436</v>
      </c>
      <c r="B448" s="505"/>
      <c r="C448" s="696">
        <f t="shared" ref="C448:AJ448" si="723">C351</f>
        <v>0</v>
      </c>
      <c r="D448" s="696">
        <f t="shared" si="723"/>
        <v>0</v>
      </c>
      <c r="E448" s="696">
        <f t="shared" si="723"/>
        <v>0</v>
      </c>
      <c r="F448" s="696">
        <f t="shared" si="723"/>
        <v>0</v>
      </c>
      <c r="G448" s="696">
        <f t="shared" si="723"/>
        <v>0</v>
      </c>
      <c r="H448" s="696">
        <f t="shared" si="723"/>
        <v>0</v>
      </c>
      <c r="I448" s="696">
        <f t="shared" si="723"/>
        <v>0</v>
      </c>
      <c r="J448" s="696">
        <f t="shared" si="723"/>
        <v>0</v>
      </c>
      <c r="K448" s="696">
        <f t="shared" si="723"/>
        <v>0</v>
      </c>
      <c r="L448" s="696">
        <f t="shared" si="723"/>
        <v>0</v>
      </c>
      <c r="M448" s="696">
        <f t="shared" si="723"/>
        <v>0</v>
      </c>
      <c r="N448" s="696">
        <f t="shared" si="723"/>
        <v>0</v>
      </c>
      <c r="O448" s="696">
        <f t="shared" si="723"/>
        <v>0</v>
      </c>
      <c r="P448" s="696">
        <f t="shared" si="723"/>
        <v>0</v>
      </c>
      <c r="Q448" s="696">
        <f t="shared" si="723"/>
        <v>0</v>
      </c>
      <c r="R448" s="696">
        <f t="shared" si="723"/>
        <v>0</v>
      </c>
      <c r="S448" s="696">
        <f t="shared" si="723"/>
        <v>0</v>
      </c>
      <c r="T448" s="696">
        <f t="shared" si="723"/>
        <v>0</v>
      </c>
      <c r="U448" s="696">
        <f t="shared" si="723"/>
        <v>0</v>
      </c>
      <c r="V448" s="696">
        <f t="shared" si="723"/>
        <v>0</v>
      </c>
      <c r="W448" s="696">
        <f t="shared" si="723"/>
        <v>0</v>
      </c>
      <c r="X448" s="696">
        <f t="shared" si="723"/>
        <v>0</v>
      </c>
      <c r="Y448" s="696">
        <f t="shared" si="723"/>
        <v>0</v>
      </c>
      <c r="Z448" s="696">
        <f t="shared" si="723"/>
        <v>0</v>
      </c>
      <c r="AA448" s="696">
        <f t="shared" si="723"/>
        <v>0</v>
      </c>
      <c r="AB448" s="696">
        <f t="shared" si="723"/>
        <v>0</v>
      </c>
      <c r="AC448" s="696">
        <f t="shared" si="723"/>
        <v>0</v>
      </c>
      <c r="AD448" s="696">
        <f t="shared" si="723"/>
        <v>72235.800000000032</v>
      </c>
      <c r="AE448" s="696">
        <f t="shared" si="723"/>
        <v>223208.62200000006</v>
      </c>
      <c r="AF448" s="696">
        <f t="shared" si="723"/>
        <v>455345.58888000017</v>
      </c>
      <c r="AG448" s="696">
        <f t="shared" si="723"/>
        <v>919798.0895376004</v>
      </c>
      <c r="AH448" s="696">
        <f t="shared" si="723"/>
        <v>1379697.1343064003</v>
      </c>
      <c r="AI448" s="696">
        <f t="shared" si="723"/>
        <v>1660746.5505540005</v>
      </c>
      <c r="AJ448" s="696">
        <f t="shared" si="723"/>
        <v>1916246.01987</v>
      </c>
      <c r="AK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405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</row>
    <row r="449" spans="1:78" s="20" customFormat="1" ht="13.15" customHeight="1" x14ac:dyDescent="0.2">
      <c r="A449" s="664" t="s">
        <v>437</v>
      </c>
      <c r="B449" s="505"/>
      <c r="C449" s="696">
        <f t="shared" ref="C449:AJ449" si="724">C378</f>
        <v>0</v>
      </c>
      <c r="D449" s="696">
        <f t="shared" si="724"/>
        <v>0</v>
      </c>
      <c r="E449" s="696">
        <f t="shared" si="724"/>
        <v>0</v>
      </c>
      <c r="F449" s="696">
        <f t="shared" si="724"/>
        <v>0</v>
      </c>
      <c r="G449" s="696">
        <f t="shared" si="724"/>
        <v>0</v>
      </c>
      <c r="H449" s="696">
        <f t="shared" si="724"/>
        <v>0</v>
      </c>
      <c r="I449" s="696">
        <f t="shared" si="724"/>
        <v>0</v>
      </c>
      <c r="J449" s="696">
        <f t="shared" si="724"/>
        <v>0</v>
      </c>
      <c r="K449" s="696">
        <f t="shared" si="724"/>
        <v>0</v>
      </c>
      <c r="L449" s="696">
        <f t="shared" si="724"/>
        <v>0</v>
      </c>
      <c r="M449" s="696">
        <f t="shared" si="724"/>
        <v>0</v>
      </c>
      <c r="N449" s="696">
        <f t="shared" si="724"/>
        <v>0</v>
      </c>
      <c r="O449" s="696">
        <f t="shared" si="724"/>
        <v>0</v>
      </c>
      <c r="P449" s="696">
        <f t="shared" si="724"/>
        <v>0</v>
      </c>
      <c r="Q449" s="696">
        <f t="shared" si="724"/>
        <v>0</v>
      </c>
      <c r="R449" s="696">
        <f t="shared" si="724"/>
        <v>0</v>
      </c>
      <c r="S449" s="696">
        <f t="shared" si="724"/>
        <v>0</v>
      </c>
      <c r="T449" s="696">
        <f t="shared" si="724"/>
        <v>0</v>
      </c>
      <c r="U449" s="696">
        <f t="shared" si="724"/>
        <v>0</v>
      </c>
      <c r="V449" s="696">
        <f t="shared" si="724"/>
        <v>0</v>
      </c>
      <c r="W449" s="696">
        <f t="shared" si="724"/>
        <v>0</v>
      </c>
      <c r="X449" s="696">
        <f t="shared" si="724"/>
        <v>0</v>
      </c>
      <c r="Y449" s="696">
        <f t="shared" si="724"/>
        <v>0</v>
      </c>
      <c r="Z449" s="696">
        <f t="shared" si="724"/>
        <v>0</v>
      </c>
      <c r="AA449" s="696">
        <f t="shared" si="724"/>
        <v>0</v>
      </c>
      <c r="AB449" s="696">
        <f t="shared" si="724"/>
        <v>0</v>
      </c>
      <c r="AC449" s="696">
        <f t="shared" si="724"/>
        <v>0</v>
      </c>
      <c r="AD449" s="696">
        <f t="shared" si="724"/>
        <v>51597.000000000022</v>
      </c>
      <c r="AE449" s="696">
        <f t="shared" si="724"/>
        <v>159434.73000000004</v>
      </c>
      <c r="AF449" s="696">
        <f t="shared" si="724"/>
        <v>325246.84920000011</v>
      </c>
      <c r="AG449" s="696">
        <f t="shared" si="724"/>
        <v>656998.63538400014</v>
      </c>
      <c r="AH449" s="696">
        <f t="shared" si="724"/>
        <v>985497.95307600009</v>
      </c>
      <c r="AI449" s="696">
        <f t="shared" si="724"/>
        <v>1186247.53611</v>
      </c>
      <c r="AJ449" s="696">
        <f t="shared" si="724"/>
        <v>1368747.1570499996</v>
      </c>
      <c r="AK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405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</row>
    <row r="450" spans="1:78" s="20" customFormat="1" ht="13.15" customHeight="1" x14ac:dyDescent="0.2">
      <c r="A450" s="664" t="s">
        <v>438</v>
      </c>
      <c r="B450" s="505"/>
      <c r="C450" s="696">
        <f t="shared" ref="C450:AJ450" si="725">C405</f>
        <v>0</v>
      </c>
      <c r="D450" s="696">
        <f t="shared" si="725"/>
        <v>0</v>
      </c>
      <c r="E450" s="696">
        <f t="shared" si="725"/>
        <v>0</v>
      </c>
      <c r="F450" s="696">
        <f t="shared" si="725"/>
        <v>0</v>
      </c>
      <c r="G450" s="696">
        <f t="shared" si="725"/>
        <v>0</v>
      </c>
      <c r="H450" s="696">
        <f t="shared" si="725"/>
        <v>0</v>
      </c>
      <c r="I450" s="696">
        <f t="shared" si="725"/>
        <v>0</v>
      </c>
      <c r="J450" s="696">
        <f t="shared" si="725"/>
        <v>0</v>
      </c>
      <c r="K450" s="696">
        <f t="shared" si="725"/>
        <v>0</v>
      </c>
      <c r="L450" s="696">
        <f t="shared" si="725"/>
        <v>0</v>
      </c>
      <c r="M450" s="696">
        <f t="shared" si="725"/>
        <v>0</v>
      </c>
      <c r="N450" s="696">
        <f t="shared" si="725"/>
        <v>0</v>
      </c>
      <c r="O450" s="696">
        <f t="shared" si="725"/>
        <v>0</v>
      </c>
      <c r="P450" s="696">
        <f t="shared" si="725"/>
        <v>0</v>
      </c>
      <c r="Q450" s="696">
        <f t="shared" si="725"/>
        <v>0</v>
      </c>
      <c r="R450" s="696">
        <f t="shared" si="725"/>
        <v>0</v>
      </c>
      <c r="S450" s="696">
        <f t="shared" si="725"/>
        <v>0</v>
      </c>
      <c r="T450" s="696">
        <f t="shared" si="725"/>
        <v>0</v>
      </c>
      <c r="U450" s="696">
        <f t="shared" si="725"/>
        <v>0</v>
      </c>
      <c r="V450" s="696">
        <f t="shared" si="725"/>
        <v>0</v>
      </c>
      <c r="W450" s="696">
        <f t="shared" si="725"/>
        <v>0</v>
      </c>
      <c r="X450" s="696">
        <f t="shared" si="725"/>
        <v>0</v>
      </c>
      <c r="Y450" s="696">
        <f t="shared" si="725"/>
        <v>0</v>
      </c>
      <c r="Z450" s="696">
        <f t="shared" si="725"/>
        <v>0</v>
      </c>
      <c r="AA450" s="696">
        <f t="shared" si="725"/>
        <v>0</v>
      </c>
      <c r="AB450" s="696">
        <f t="shared" si="725"/>
        <v>0</v>
      </c>
      <c r="AC450" s="696">
        <f t="shared" si="725"/>
        <v>0</v>
      </c>
      <c r="AD450" s="696">
        <f t="shared" si="725"/>
        <v>9287.4600000000028</v>
      </c>
      <c r="AE450" s="696">
        <f t="shared" si="725"/>
        <v>28698.251400000008</v>
      </c>
      <c r="AF450" s="696">
        <f t="shared" si="725"/>
        <v>58544.432856000014</v>
      </c>
      <c r="AG450" s="696">
        <f t="shared" si="725"/>
        <v>118259.75436912003</v>
      </c>
      <c r="AH450" s="696">
        <f t="shared" si="725"/>
        <v>177389.63155368002</v>
      </c>
      <c r="AI450" s="696">
        <f t="shared" si="725"/>
        <v>213524.5564998</v>
      </c>
      <c r="AJ450" s="696">
        <f t="shared" si="725"/>
        <v>246374.48826899994</v>
      </c>
      <c r="AK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405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</row>
    <row r="451" spans="1:78" s="20" customFormat="1" ht="13.15" customHeight="1" thickBot="1" x14ac:dyDescent="0.25">
      <c r="A451" s="664" t="s">
        <v>439</v>
      </c>
      <c r="B451" s="505"/>
      <c r="C451" s="696">
        <f t="shared" ref="C451:AJ451" si="726">C432</f>
        <v>0</v>
      </c>
      <c r="D451" s="696">
        <f t="shared" si="726"/>
        <v>0</v>
      </c>
      <c r="E451" s="696">
        <f t="shared" si="726"/>
        <v>0</v>
      </c>
      <c r="F451" s="696">
        <f t="shared" si="726"/>
        <v>0</v>
      </c>
      <c r="G451" s="696">
        <f t="shared" si="726"/>
        <v>0</v>
      </c>
      <c r="H451" s="696">
        <f t="shared" si="726"/>
        <v>0</v>
      </c>
      <c r="I451" s="696">
        <f t="shared" si="726"/>
        <v>0</v>
      </c>
      <c r="J451" s="696">
        <f t="shared" si="726"/>
        <v>0</v>
      </c>
      <c r="K451" s="696">
        <f t="shared" si="726"/>
        <v>0</v>
      </c>
      <c r="L451" s="696">
        <f t="shared" si="726"/>
        <v>0</v>
      </c>
      <c r="M451" s="696">
        <f t="shared" si="726"/>
        <v>0</v>
      </c>
      <c r="N451" s="696">
        <f t="shared" si="726"/>
        <v>0</v>
      </c>
      <c r="O451" s="696">
        <f t="shared" si="726"/>
        <v>0</v>
      </c>
      <c r="P451" s="696">
        <f t="shared" si="726"/>
        <v>0</v>
      </c>
      <c r="Q451" s="696">
        <f t="shared" si="726"/>
        <v>0</v>
      </c>
      <c r="R451" s="696">
        <f t="shared" si="726"/>
        <v>0</v>
      </c>
      <c r="S451" s="696">
        <f t="shared" si="726"/>
        <v>0</v>
      </c>
      <c r="T451" s="696">
        <f t="shared" si="726"/>
        <v>0</v>
      </c>
      <c r="U451" s="696">
        <f t="shared" si="726"/>
        <v>0</v>
      </c>
      <c r="V451" s="696">
        <f t="shared" si="726"/>
        <v>0</v>
      </c>
      <c r="W451" s="696">
        <f t="shared" si="726"/>
        <v>0</v>
      </c>
      <c r="X451" s="696">
        <f t="shared" si="726"/>
        <v>0</v>
      </c>
      <c r="Y451" s="696">
        <f t="shared" si="726"/>
        <v>0</v>
      </c>
      <c r="Z451" s="696">
        <f t="shared" si="726"/>
        <v>0</v>
      </c>
      <c r="AA451" s="696">
        <f t="shared" si="726"/>
        <v>0</v>
      </c>
      <c r="AB451" s="696">
        <f t="shared" si="726"/>
        <v>0</v>
      </c>
      <c r="AC451" s="696">
        <f t="shared" si="726"/>
        <v>0</v>
      </c>
      <c r="AD451" s="696">
        <f t="shared" si="726"/>
        <v>4127.7600000000011</v>
      </c>
      <c r="AE451" s="696">
        <f t="shared" si="726"/>
        <v>12754.778400000007</v>
      </c>
      <c r="AF451" s="696">
        <f t="shared" si="726"/>
        <v>26019.747936000014</v>
      </c>
      <c r="AG451" s="696">
        <f t="shared" si="726"/>
        <v>52559.890830720025</v>
      </c>
      <c r="AH451" s="696">
        <f t="shared" si="726"/>
        <v>78839.836246080027</v>
      </c>
      <c r="AI451" s="696">
        <f t="shared" si="726"/>
        <v>94899.802888800012</v>
      </c>
      <c r="AJ451" s="696">
        <f t="shared" si="726"/>
        <v>109499.772564</v>
      </c>
      <c r="AK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405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</row>
    <row r="452" spans="1:78" ht="12.4" customHeight="1" x14ac:dyDescent="0.2">
      <c r="A452" s="98" t="s">
        <v>320</v>
      </c>
      <c r="B452" s="99"/>
      <c r="C452" s="99">
        <f t="shared" ref="C452:AJ452" si="727">SUM(C436:C451)</f>
        <v>0</v>
      </c>
      <c r="D452" s="99">
        <f t="shared" si="727"/>
        <v>0</v>
      </c>
      <c r="E452" s="99">
        <f t="shared" si="727"/>
        <v>0</v>
      </c>
      <c r="F452" s="99">
        <f t="shared" si="727"/>
        <v>0</v>
      </c>
      <c r="G452" s="99">
        <f t="shared" si="727"/>
        <v>0</v>
      </c>
      <c r="H452" s="99">
        <f t="shared" si="727"/>
        <v>0</v>
      </c>
      <c r="I452" s="99">
        <f t="shared" si="727"/>
        <v>0</v>
      </c>
      <c r="J452" s="99">
        <f t="shared" si="727"/>
        <v>0</v>
      </c>
      <c r="K452" s="99">
        <f t="shared" si="727"/>
        <v>0</v>
      </c>
      <c r="L452" s="99">
        <f t="shared" si="727"/>
        <v>0</v>
      </c>
      <c r="M452" s="99">
        <f t="shared" si="727"/>
        <v>0</v>
      </c>
      <c r="N452" s="99">
        <f t="shared" si="727"/>
        <v>0</v>
      </c>
      <c r="O452" s="99">
        <f t="shared" si="727"/>
        <v>0</v>
      </c>
      <c r="P452" s="99">
        <f t="shared" si="727"/>
        <v>816406.25</v>
      </c>
      <c r="Q452" s="99">
        <f t="shared" si="727"/>
        <v>937812.5</v>
      </c>
      <c r="R452" s="99">
        <f t="shared" si="727"/>
        <v>1059218.75</v>
      </c>
      <c r="S452" s="99">
        <f t="shared" si="727"/>
        <v>1180625</v>
      </c>
      <c r="T452" s="99">
        <f t="shared" si="727"/>
        <v>1302031.25</v>
      </c>
      <c r="U452" s="99">
        <f t="shared" si="727"/>
        <v>1423437.5</v>
      </c>
      <c r="V452" s="99">
        <f t="shared" si="727"/>
        <v>1568337.5</v>
      </c>
      <c r="W452" s="99">
        <f t="shared" si="727"/>
        <v>1713237.5</v>
      </c>
      <c r="X452" s="99">
        <f t="shared" si="727"/>
        <v>1858137.5000000002</v>
      </c>
      <c r="Y452" s="99">
        <f t="shared" si="727"/>
        <v>2003037.5000000002</v>
      </c>
      <c r="Z452" s="99">
        <f t="shared" si="727"/>
        <v>2147937.5</v>
      </c>
      <c r="AA452" s="99">
        <f t="shared" si="727"/>
        <v>2292837.5</v>
      </c>
      <c r="AB452" s="99">
        <f t="shared" si="727"/>
        <v>18303056.25</v>
      </c>
      <c r="AC452" s="99">
        <f t="shared" si="727"/>
        <v>40220538.5625</v>
      </c>
      <c r="AD452" s="99">
        <f t="shared" si="727"/>
        <v>71255721.840000004</v>
      </c>
      <c r="AE452" s="99">
        <f t="shared" si="727"/>
        <v>121502918.35815004</v>
      </c>
      <c r="AF452" s="99">
        <f t="shared" si="727"/>
        <v>179252222.32620603</v>
      </c>
      <c r="AG452" s="99">
        <f t="shared" si="727"/>
        <v>224154215.12279263</v>
      </c>
      <c r="AH452" s="99">
        <f t="shared" si="727"/>
        <v>259917671.52399334</v>
      </c>
      <c r="AI452" s="99">
        <f t="shared" si="727"/>
        <v>294687174.30610192</v>
      </c>
      <c r="AJ452" s="99">
        <f t="shared" si="727"/>
        <v>329435417.86986297</v>
      </c>
      <c r="AK452"/>
      <c r="AM452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/>
      <c r="BH452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/>
    </row>
    <row r="453" spans="1:78" ht="12.4" customHeight="1" x14ac:dyDescent="0.2">
      <c r="A453" s="101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/>
      <c r="AG453"/>
      <c r="AH453"/>
      <c r="AJ453"/>
      <c r="AK453"/>
      <c r="AZ453"/>
      <c r="BU453"/>
    </row>
    <row r="454" spans="1:78" ht="16.899999999999999" customHeight="1" thickBot="1" x14ac:dyDescent="0.25">
      <c r="A454" s="83" t="s">
        <v>262</v>
      </c>
      <c r="B454" s="84"/>
      <c r="C454" s="698">
        <f t="shared" ref="C454:AJ454" si="728">C2</f>
        <v>40909</v>
      </c>
      <c r="D454" s="698">
        <f t="shared" si="728"/>
        <v>40940</v>
      </c>
      <c r="E454" s="698">
        <f t="shared" si="728"/>
        <v>40969</v>
      </c>
      <c r="F454" s="698">
        <f t="shared" si="728"/>
        <v>41000</v>
      </c>
      <c r="G454" s="698">
        <f t="shared" si="728"/>
        <v>41030</v>
      </c>
      <c r="H454" s="698">
        <f t="shared" si="728"/>
        <v>41061</v>
      </c>
      <c r="I454" s="698">
        <f t="shared" si="728"/>
        <v>41091</v>
      </c>
      <c r="J454" s="698">
        <f t="shared" si="728"/>
        <v>41122</v>
      </c>
      <c r="K454" s="698">
        <f t="shared" si="728"/>
        <v>41153</v>
      </c>
      <c r="L454" s="698">
        <f t="shared" si="728"/>
        <v>41183</v>
      </c>
      <c r="M454" s="698">
        <f t="shared" si="728"/>
        <v>41214</v>
      </c>
      <c r="N454" s="698">
        <f t="shared" si="728"/>
        <v>41244</v>
      </c>
      <c r="O454" s="87">
        <f t="shared" si="728"/>
        <v>2012</v>
      </c>
      <c r="P454" s="698">
        <f t="shared" si="728"/>
        <v>41275</v>
      </c>
      <c r="Q454" s="698">
        <f t="shared" si="728"/>
        <v>41306</v>
      </c>
      <c r="R454" s="698">
        <f t="shared" si="728"/>
        <v>41334</v>
      </c>
      <c r="S454" s="698">
        <f t="shared" si="728"/>
        <v>41365</v>
      </c>
      <c r="T454" s="698">
        <f t="shared" si="728"/>
        <v>41395</v>
      </c>
      <c r="U454" s="698">
        <f t="shared" si="728"/>
        <v>41426</v>
      </c>
      <c r="V454" s="698">
        <f t="shared" si="728"/>
        <v>41456</v>
      </c>
      <c r="W454" s="698">
        <f t="shared" si="728"/>
        <v>41487</v>
      </c>
      <c r="X454" s="698">
        <f t="shared" si="728"/>
        <v>41518</v>
      </c>
      <c r="Y454" s="698">
        <f t="shared" si="728"/>
        <v>41548</v>
      </c>
      <c r="Z454" s="698">
        <f t="shared" si="728"/>
        <v>41579</v>
      </c>
      <c r="AA454" s="698">
        <f t="shared" si="728"/>
        <v>41609</v>
      </c>
      <c r="AB454" s="87">
        <f t="shared" si="728"/>
        <v>2013</v>
      </c>
      <c r="AC454" s="87">
        <f t="shared" si="728"/>
        <v>2014</v>
      </c>
      <c r="AD454" s="87">
        <f t="shared" si="728"/>
        <v>2015</v>
      </c>
      <c r="AE454" s="87">
        <f t="shared" si="728"/>
        <v>2016</v>
      </c>
      <c r="AF454" s="87">
        <f t="shared" si="728"/>
        <v>2017</v>
      </c>
      <c r="AG454" s="87">
        <f t="shared" si="728"/>
        <v>2018</v>
      </c>
      <c r="AH454" s="87">
        <f t="shared" si="728"/>
        <v>2019</v>
      </c>
      <c r="AI454" s="87">
        <f t="shared" si="728"/>
        <v>2020</v>
      </c>
      <c r="AJ454" s="87">
        <f t="shared" si="728"/>
        <v>2021</v>
      </c>
      <c r="AK454"/>
    </row>
    <row r="455" spans="1:78" ht="12.4" customHeight="1" x14ac:dyDescent="0.2">
      <c r="A455" s="501" t="s">
        <v>401</v>
      </c>
      <c r="B455" s="504"/>
      <c r="C455" s="479">
        <v>20</v>
      </c>
      <c r="D455" s="479">
        <f>C455</f>
        <v>20</v>
      </c>
      <c r="E455" s="479">
        <f t="shared" ref="E455:N455" si="729">D455</f>
        <v>20</v>
      </c>
      <c r="F455" s="479">
        <f t="shared" si="729"/>
        <v>20</v>
      </c>
      <c r="G455" s="479">
        <f t="shared" si="729"/>
        <v>20</v>
      </c>
      <c r="H455" s="479">
        <f t="shared" si="729"/>
        <v>20</v>
      </c>
      <c r="I455" s="479">
        <f t="shared" si="729"/>
        <v>20</v>
      </c>
      <c r="J455" s="479">
        <f t="shared" si="729"/>
        <v>20</v>
      </c>
      <c r="K455" s="479">
        <f t="shared" si="729"/>
        <v>20</v>
      </c>
      <c r="L455" s="479">
        <f t="shared" si="729"/>
        <v>20</v>
      </c>
      <c r="M455" s="479">
        <f t="shared" si="729"/>
        <v>20</v>
      </c>
      <c r="N455" s="479">
        <f t="shared" si="729"/>
        <v>20</v>
      </c>
      <c r="O455" s="460">
        <f>N455</f>
        <v>20</v>
      </c>
      <c r="P455" s="479">
        <f>N455</f>
        <v>20</v>
      </c>
      <c r="Q455" s="479">
        <f>P455</f>
        <v>20</v>
      </c>
      <c r="R455" s="479">
        <f t="shared" ref="R455:AB455" si="730">Q455</f>
        <v>20</v>
      </c>
      <c r="S455" s="479">
        <f t="shared" si="730"/>
        <v>20</v>
      </c>
      <c r="T455" s="479">
        <f t="shared" si="730"/>
        <v>20</v>
      </c>
      <c r="U455" s="479">
        <f t="shared" si="730"/>
        <v>20</v>
      </c>
      <c r="V455" s="479">
        <f t="shared" si="730"/>
        <v>20</v>
      </c>
      <c r="W455" s="479">
        <f t="shared" si="730"/>
        <v>20</v>
      </c>
      <c r="X455" s="479">
        <f t="shared" si="730"/>
        <v>20</v>
      </c>
      <c r="Y455" s="479">
        <f t="shared" si="730"/>
        <v>20</v>
      </c>
      <c r="Z455" s="479">
        <f t="shared" si="730"/>
        <v>20</v>
      </c>
      <c r="AA455" s="479">
        <f t="shared" si="730"/>
        <v>20</v>
      </c>
      <c r="AB455" s="695">
        <f t="shared" si="730"/>
        <v>20</v>
      </c>
      <c r="AC455" s="479">
        <f>AA455</f>
        <v>20</v>
      </c>
      <c r="AD455" s="479">
        <f>AC455</f>
        <v>20</v>
      </c>
      <c r="AE455" s="479">
        <f t="shared" ref="AE455:AJ455" si="731">AD455</f>
        <v>20</v>
      </c>
      <c r="AF455" s="479">
        <f t="shared" si="731"/>
        <v>20</v>
      </c>
      <c r="AG455" s="479">
        <f t="shared" si="731"/>
        <v>20</v>
      </c>
      <c r="AH455" s="479">
        <f t="shared" si="731"/>
        <v>20</v>
      </c>
      <c r="AI455" s="479">
        <f t="shared" si="731"/>
        <v>20</v>
      </c>
      <c r="AJ455" s="479">
        <f t="shared" si="731"/>
        <v>20</v>
      </c>
      <c r="AK455"/>
    </row>
    <row r="456" spans="1:78" ht="13.15" customHeight="1" thickBot="1" x14ac:dyDescent="0.25">
      <c r="A456" s="665" t="s">
        <v>259</v>
      </c>
      <c r="B456" s="512"/>
      <c r="C456" s="690">
        <f t="shared" ref="C456:AJ456" si="732">C23+C50+C77+C104+C131+C158+C185+C212+C239+C266+C293+C320+C347+C374+C401+C428</f>
        <v>0</v>
      </c>
      <c r="D456" s="690">
        <f t="shared" si="732"/>
        <v>0</v>
      </c>
      <c r="E456" s="690">
        <f t="shared" si="732"/>
        <v>0</v>
      </c>
      <c r="F456" s="690">
        <f t="shared" si="732"/>
        <v>0</v>
      </c>
      <c r="G456" s="690">
        <f t="shared" si="732"/>
        <v>0</v>
      </c>
      <c r="H456" s="690">
        <f t="shared" si="732"/>
        <v>0</v>
      </c>
      <c r="I456" s="690">
        <f t="shared" si="732"/>
        <v>0</v>
      </c>
      <c r="J456" s="690">
        <f t="shared" si="732"/>
        <v>0</v>
      </c>
      <c r="K456" s="690">
        <f t="shared" si="732"/>
        <v>0</v>
      </c>
      <c r="L456" s="690">
        <f t="shared" si="732"/>
        <v>0</v>
      </c>
      <c r="M456" s="690">
        <f t="shared" si="732"/>
        <v>0</v>
      </c>
      <c r="N456" s="690">
        <f t="shared" si="732"/>
        <v>0</v>
      </c>
      <c r="O456" s="690">
        <f t="shared" si="732"/>
        <v>0</v>
      </c>
      <c r="P456" s="690">
        <f t="shared" si="732"/>
        <v>2721.354166666667</v>
      </c>
      <c r="Q456" s="690">
        <f t="shared" si="732"/>
        <v>3126.041666666667</v>
      </c>
      <c r="R456" s="690">
        <f t="shared" si="732"/>
        <v>3530.729166666667</v>
      </c>
      <c r="S456" s="690">
        <f t="shared" si="732"/>
        <v>3935.416666666667</v>
      </c>
      <c r="T456" s="690">
        <f t="shared" si="732"/>
        <v>4340.104166666667</v>
      </c>
      <c r="U456" s="690">
        <f t="shared" si="732"/>
        <v>4744.791666666667</v>
      </c>
      <c r="V456" s="690">
        <f t="shared" si="732"/>
        <v>5227.791666666667</v>
      </c>
      <c r="W456" s="690">
        <f t="shared" si="732"/>
        <v>5710.791666666667</v>
      </c>
      <c r="X456" s="690">
        <f t="shared" si="732"/>
        <v>6193.7916666666679</v>
      </c>
      <c r="Y456" s="690">
        <f t="shared" si="732"/>
        <v>6676.7916666666679</v>
      </c>
      <c r="Z456" s="690">
        <f t="shared" si="732"/>
        <v>7159.7916666666679</v>
      </c>
      <c r="AA456" s="690">
        <f t="shared" si="732"/>
        <v>7642.7916666666679</v>
      </c>
      <c r="AB456" s="690">
        <f t="shared" si="732"/>
        <v>61010.1875</v>
      </c>
      <c r="AC456" s="690">
        <f t="shared" si="732"/>
        <v>134068.46187500001</v>
      </c>
      <c r="AD456" s="690">
        <f t="shared" si="732"/>
        <v>237519.07279999999</v>
      </c>
      <c r="AE456" s="690">
        <f t="shared" si="732"/>
        <v>405009.72786050005</v>
      </c>
      <c r="AF456" s="690">
        <f t="shared" si="732"/>
        <v>597507.40775402018</v>
      </c>
      <c r="AG456" s="690">
        <f t="shared" si="732"/>
        <v>747180.71707597584</v>
      </c>
      <c r="AH456" s="690">
        <f t="shared" si="732"/>
        <v>866392.23841331119</v>
      </c>
      <c r="AI456" s="690">
        <f t="shared" si="732"/>
        <v>982290.58102034009</v>
      </c>
      <c r="AJ456" s="690">
        <f t="shared" si="732"/>
        <v>1098118.0595662096</v>
      </c>
      <c r="AK456"/>
    </row>
    <row r="457" spans="1:78" ht="12.4" customHeight="1" x14ac:dyDescent="0.2">
      <c r="A457" s="105" t="s">
        <v>261</v>
      </c>
      <c r="B457" s="106"/>
      <c r="C457" s="106">
        <f>C455*C456</f>
        <v>0</v>
      </c>
      <c r="D457" s="106">
        <f t="shared" ref="D457:AJ457" si="733">D455*D456</f>
        <v>0</v>
      </c>
      <c r="E457" s="106">
        <f t="shared" si="733"/>
        <v>0</v>
      </c>
      <c r="F457" s="106">
        <f t="shared" si="733"/>
        <v>0</v>
      </c>
      <c r="G457" s="106">
        <f t="shared" si="733"/>
        <v>0</v>
      </c>
      <c r="H457" s="106">
        <f t="shared" si="733"/>
        <v>0</v>
      </c>
      <c r="I457" s="106">
        <f t="shared" si="733"/>
        <v>0</v>
      </c>
      <c r="J457" s="106">
        <f t="shared" si="733"/>
        <v>0</v>
      </c>
      <c r="K457" s="106">
        <f t="shared" si="733"/>
        <v>0</v>
      </c>
      <c r="L457" s="106">
        <f t="shared" si="733"/>
        <v>0</v>
      </c>
      <c r="M457" s="106">
        <f t="shared" si="733"/>
        <v>0</v>
      </c>
      <c r="N457" s="106">
        <f t="shared" si="733"/>
        <v>0</v>
      </c>
      <c r="O457" s="106">
        <f t="shared" si="733"/>
        <v>0</v>
      </c>
      <c r="P457" s="106">
        <f t="shared" si="733"/>
        <v>54427.083333333343</v>
      </c>
      <c r="Q457" s="106">
        <f t="shared" si="733"/>
        <v>62520.833333333343</v>
      </c>
      <c r="R457" s="106">
        <f t="shared" si="733"/>
        <v>70614.583333333343</v>
      </c>
      <c r="S457" s="106">
        <f t="shared" si="733"/>
        <v>78708.333333333343</v>
      </c>
      <c r="T457" s="106">
        <f t="shared" si="733"/>
        <v>86802.083333333343</v>
      </c>
      <c r="U457" s="106">
        <f t="shared" si="733"/>
        <v>94895.833333333343</v>
      </c>
      <c r="V457" s="106">
        <f t="shared" si="733"/>
        <v>104555.83333333334</v>
      </c>
      <c r="W457" s="106">
        <f t="shared" si="733"/>
        <v>114215.83333333334</v>
      </c>
      <c r="X457" s="106">
        <f t="shared" si="733"/>
        <v>123875.83333333336</v>
      </c>
      <c r="Y457" s="106">
        <f t="shared" si="733"/>
        <v>133535.83333333337</v>
      </c>
      <c r="Z457" s="106">
        <f t="shared" si="733"/>
        <v>143195.83333333337</v>
      </c>
      <c r="AA457" s="106">
        <f t="shared" si="733"/>
        <v>152855.83333333337</v>
      </c>
      <c r="AB457" s="106">
        <f t="shared" si="733"/>
        <v>1220203.75</v>
      </c>
      <c r="AC457" s="106">
        <f t="shared" si="733"/>
        <v>2681369.2375000003</v>
      </c>
      <c r="AD457" s="106">
        <f t="shared" si="733"/>
        <v>4750381.4560000002</v>
      </c>
      <c r="AE457" s="106">
        <f t="shared" si="733"/>
        <v>8100194.5572100012</v>
      </c>
      <c r="AF457" s="106">
        <f t="shared" si="733"/>
        <v>11950148.155080404</v>
      </c>
      <c r="AG457" s="106">
        <f t="shared" si="733"/>
        <v>14943614.341519516</v>
      </c>
      <c r="AH457" s="106">
        <f t="shared" si="733"/>
        <v>17327844.768266223</v>
      </c>
      <c r="AI457" s="106">
        <f t="shared" si="733"/>
        <v>19645811.620406803</v>
      </c>
      <c r="AJ457" s="106">
        <f t="shared" si="733"/>
        <v>21962361.191324189</v>
      </c>
      <c r="AK457"/>
    </row>
    <row r="458" spans="1:78" s="706" customFormat="1" ht="12.4" customHeight="1" x14ac:dyDescent="0.2">
      <c r="A458" s="706" t="s">
        <v>269</v>
      </c>
      <c r="C458" s="733"/>
      <c r="D458" s="733"/>
      <c r="E458" s="733"/>
      <c r="F458" s="733"/>
      <c r="G458" s="733"/>
      <c r="H458" s="733"/>
      <c r="I458" s="733"/>
      <c r="J458" s="733"/>
      <c r="K458" s="733"/>
      <c r="L458" s="733"/>
      <c r="M458" s="733"/>
      <c r="N458" s="733"/>
      <c r="O458" s="805"/>
      <c r="P458" s="733"/>
      <c r="Q458" s="733"/>
      <c r="R458" s="733"/>
      <c r="S458" s="733"/>
      <c r="T458" s="733"/>
      <c r="U458" s="733"/>
      <c r="V458" s="733"/>
      <c r="W458" s="733"/>
      <c r="X458" s="733"/>
      <c r="Y458" s="733"/>
      <c r="Z458" s="733"/>
      <c r="AA458" s="733"/>
      <c r="AB458" s="806">
        <f>AB457/AB452</f>
        <v>6.6666666666666666E-2</v>
      </c>
      <c r="AC458" s="806">
        <f>AC457/AC452</f>
        <v>6.666666666666668E-2</v>
      </c>
      <c r="AD458" s="806">
        <f>AD457/AD452</f>
        <v>6.6666666666666666E-2</v>
      </c>
      <c r="AE458" s="806">
        <f>AE457/AE452</f>
        <v>6.6666666666666652E-2</v>
      </c>
    </row>
    <row r="459" spans="1:78" ht="16.899999999999999" customHeight="1" thickBot="1" x14ac:dyDescent="0.25">
      <c r="A459" s="83" t="s">
        <v>263</v>
      </c>
      <c r="B459" s="84"/>
      <c r="C459" s="698">
        <v>40909</v>
      </c>
      <c r="D459" s="698">
        <v>40940</v>
      </c>
      <c r="E459" s="698">
        <v>40969</v>
      </c>
      <c r="F459" s="698">
        <v>41000</v>
      </c>
      <c r="G459" s="698">
        <v>41030</v>
      </c>
      <c r="H459" s="698">
        <v>41061</v>
      </c>
      <c r="I459" s="698">
        <v>41091</v>
      </c>
      <c r="J459" s="698">
        <v>41122</v>
      </c>
      <c r="K459" s="698">
        <v>41153</v>
      </c>
      <c r="L459" s="698">
        <v>41183</v>
      </c>
      <c r="M459" s="698">
        <v>41214</v>
      </c>
      <c r="N459" s="698">
        <v>41244</v>
      </c>
      <c r="O459" s="87">
        <v>2012</v>
      </c>
      <c r="P459" s="698">
        <v>41275</v>
      </c>
      <c r="Q459" s="698">
        <v>41306</v>
      </c>
      <c r="R459" s="698">
        <v>41334</v>
      </c>
      <c r="S459" s="698">
        <v>41365</v>
      </c>
      <c r="T459" s="698">
        <v>41395</v>
      </c>
      <c r="U459" s="698">
        <v>41426</v>
      </c>
      <c r="V459" s="698">
        <v>41456</v>
      </c>
      <c r="W459" s="698">
        <v>41487</v>
      </c>
      <c r="X459" s="698">
        <v>41518</v>
      </c>
      <c r="Y459" s="698">
        <v>41548</v>
      </c>
      <c r="Z459" s="698">
        <v>41579</v>
      </c>
      <c r="AA459" s="698">
        <v>41609</v>
      </c>
      <c r="AB459" s="87">
        <v>2013</v>
      </c>
      <c r="AC459" s="87">
        <v>2014</v>
      </c>
      <c r="AD459" s="87">
        <v>2015</v>
      </c>
      <c r="AE459" s="87">
        <v>2016</v>
      </c>
      <c r="AF459" s="87">
        <v>2017</v>
      </c>
      <c r="AG459" s="87">
        <v>2018</v>
      </c>
      <c r="AH459" s="87">
        <v>2019</v>
      </c>
      <c r="AI459" s="87">
        <v>2020</v>
      </c>
      <c r="AJ459" s="87">
        <v>2021</v>
      </c>
      <c r="AK459"/>
    </row>
    <row r="460" spans="1:78" ht="12.4" customHeight="1" x14ac:dyDescent="0.2">
      <c r="A460" s="1" t="s">
        <v>260</v>
      </c>
      <c r="B460"/>
      <c r="C460" s="693">
        <v>0</v>
      </c>
      <c r="D460" s="693">
        <v>0</v>
      </c>
      <c r="E460" s="693">
        <v>0</v>
      </c>
      <c r="F460" s="693">
        <v>0</v>
      </c>
      <c r="G460" s="693">
        <v>0</v>
      </c>
      <c r="H460" s="693">
        <v>0</v>
      </c>
      <c r="I460" s="693">
        <v>0</v>
      </c>
      <c r="J460" s="693">
        <v>0</v>
      </c>
      <c r="K460" s="693">
        <v>0</v>
      </c>
      <c r="L460" s="693">
        <v>0</v>
      </c>
      <c r="M460" s="693">
        <v>0</v>
      </c>
      <c r="N460" s="693">
        <v>0</v>
      </c>
      <c r="O460" s="693">
        <v>0</v>
      </c>
      <c r="P460" s="767">
        <f>$AB460/12</f>
        <v>8333.3333333333339</v>
      </c>
      <c r="Q460" s="767">
        <f t="shared" ref="Q460:AA460" si="734">$AB460/12</f>
        <v>8333.3333333333339</v>
      </c>
      <c r="R460" s="767">
        <f t="shared" si="734"/>
        <v>8333.3333333333339</v>
      </c>
      <c r="S460" s="767">
        <f t="shared" si="734"/>
        <v>8333.3333333333339</v>
      </c>
      <c r="T460" s="767">
        <f t="shared" si="734"/>
        <v>8333.3333333333339</v>
      </c>
      <c r="U460" s="767">
        <f t="shared" si="734"/>
        <v>8333.3333333333339</v>
      </c>
      <c r="V460" s="767">
        <f t="shared" si="734"/>
        <v>8333.3333333333339</v>
      </c>
      <c r="W460" s="767">
        <f t="shared" si="734"/>
        <v>8333.3333333333339</v>
      </c>
      <c r="X460" s="767">
        <f t="shared" si="734"/>
        <v>8333.3333333333339</v>
      </c>
      <c r="Y460" s="767">
        <f t="shared" si="734"/>
        <v>8333.3333333333339</v>
      </c>
      <c r="Z460" s="767">
        <f t="shared" si="734"/>
        <v>8333.3333333333339</v>
      </c>
      <c r="AA460" s="767">
        <f t="shared" si="734"/>
        <v>8333.3333333333339</v>
      </c>
      <c r="AB460" s="693">
        <v>100000</v>
      </c>
      <c r="AC460" s="693">
        <f>AB460</f>
        <v>100000</v>
      </c>
      <c r="AD460" s="693">
        <f>AC460</f>
        <v>100000</v>
      </c>
      <c r="AE460" s="693">
        <f t="shared" ref="AE460:AJ460" si="735">AD460</f>
        <v>100000</v>
      </c>
      <c r="AF460" s="693">
        <f t="shared" si="735"/>
        <v>100000</v>
      </c>
      <c r="AG460" s="693">
        <f t="shared" si="735"/>
        <v>100000</v>
      </c>
      <c r="AH460" s="693">
        <f t="shared" si="735"/>
        <v>100000</v>
      </c>
      <c r="AI460" s="693">
        <f t="shared" si="735"/>
        <v>100000</v>
      </c>
      <c r="AJ460" s="693">
        <f t="shared" si="735"/>
        <v>100000</v>
      </c>
      <c r="AK460"/>
    </row>
    <row r="461" spans="1:78" ht="12.4" customHeight="1" x14ac:dyDescent="0.2">
      <c r="B461"/>
      <c r="C461" s="693"/>
      <c r="D461" s="693"/>
      <c r="E461" s="693"/>
      <c r="F461" s="693"/>
      <c r="G461" s="693"/>
      <c r="H461" s="693"/>
      <c r="I461" s="693"/>
      <c r="J461" s="693"/>
      <c r="K461" s="693"/>
      <c r="L461" s="693"/>
      <c r="M461" s="693"/>
      <c r="N461" s="693"/>
      <c r="O461" s="211"/>
      <c r="P461" s="693"/>
      <c r="Q461" s="693"/>
      <c r="R461" s="693"/>
      <c r="S461" s="693"/>
      <c r="T461" s="693"/>
      <c r="U461" s="693"/>
      <c r="V461" s="693"/>
      <c r="W461" s="693"/>
      <c r="X461" s="693"/>
      <c r="Y461" s="693"/>
      <c r="Z461" s="693"/>
      <c r="AA461" s="693"/>
      <c r="AB461" s="211"/>
      <c r="AC461" s="693"/>
      <c r="AD461" s="693"/>
      <c r="AE461" s="693"/>
      <c r="AF461" s="693"/>
      <c r="AG461" s="693"/>
      <c r="AH461" s="693"/>
      <c r="AI461" s="693"/>
      <c r="AJ461" s="693"/>
      <c r="AK461"/>
    </row>
    <row r="462" spans="1:78" ht="12.4" customHeight="1" x14ac:dyDescent="0.2">
      <c r="A462" s="1" t="s">
        <v>264</v>
      </c>
      <c r="B462"/>
      <c r="C462" s="700">
        <v>0</v>
      </c>
      <c r="D462" s="700">
        <f>C462</f>
        <v>0</v>
      </c>
      <c r="E462" s="700">
        <f t="shared" ref="E462:N462" si="736">D462</f>
        <v>0</v>
      </c>
      <c r="F462" s="700">
        <f t="shared" si="736"/>
        <v>0</v>
      </c>
      <c r="G462" s="700">
        <f t="shared" si="736"/>
        <v>0</v>
      </c>
      <c r="H462" s="700">
        <f t="shared" si="736"/>
        <v>0</v>
      </c>
      <c r="I462" s="700">
        <f t="shared" si="736"/>
        <v>0</v>
      </c>
      <c r="J462" s="700">
        <f t="shared" si="736"/>
        <v>0</v>
      </c>
      <c r="K462" s="700">
        <f t="shared" si="736"/>
        <v>0</v>
      </c>
      <c r="L462" s="700">
        <f t="shared" si="736"/>
        <v>0</v>
      </c>
      <c r="M462" s="700">
        <f t="shared" si="736"/>
        <v>0</v>
      </c>
      <c r="N462" s="700">
        <f t="shared" si="736"/>
        <v>0</v>
      </c>
      <c r="O462" s="120"/>
      <c r="P462" s="700">
        <f>N462</f>
        <v>0</v>
      </c>
      <c r="Q462" s="700">
        <f>P462</f>
        <v>0</v>
      </c>
      <c r="R462" s="700">
        <f t="shared" ref="R462:AB462" si="737">Q462</f>
        <v>0</v>
      </c>
      <c r="S462" s="700">
        <f t="shared" si="737"/>
        <v>0</v>
      </c>
      <c r="T462" s="700">
        <f t="shared" si="737"/>
        <v>0</v>
      </c>
      <c r="U462" s="700">
        <f t="shared" si="737"/>
        <v>0</v>
      </c>
      <c r="V462" s="700">
        <f t="shared" si="737"/>
        <v>0</v>
      </c>
      <c r="W462" s="700">
        <f t="shared" si="737"/>
        <v>0</v>
      </c>
      <c r="X462" s="700">
        <f t="shared" si="737"/>
        <v>0</v>
      </c>
      <c r="Y462" s="700">
        <f t="shared" si="737"/>
        <v>0</v>
      </c>
      <c r="Z462" s="700">
        <f t="shared" si="737"/>
        <v>0</v>
      </c>
      <c r="AA462" s="700">
        <f t="shared" si="737"/>
        <v>0</v>
      </c>
      <c r="AB462" s="699">
        <f t="shared" si="737"/>
        <v>0</v>
      </c>
      <c r="AC462" s="701">
        <v>0.25</v>
      </c>
      <c r="AD462" s="701">
        <f>AC462</f>
        <v>0.25</v>
      </c>
      <c r="AE462" s="701">
        <f t="shared" ref="AE462:AJ462" si="738">AD462</f>
        <v>0.25</v>
      </c>
      <c r="AF462" s="701">
        <f t="shared" si="738"/>
        <v>0.25</v>
      </c>
      <c r="AG462" s="701">
        <f t="shared" si="738"/>
        <v>0.25</v>
      </c>
      <c r="AH462" s="701">
        <f t="shared" si="738"/>
        <v>0.25</v>
      </c>
      <c r="AI462" s="701">
        <f t="shared" si="738"/>
        <v>0.25</v>
      </c>
      <c r="AJ462" s="701">
        <f t="shared" si="738"/>
        <v>0.25</v>
      </c>
      <c r="AK462"/>
    </row>
    <row r="463" spans="1:78" ht="12.4" customHeight="1" x14ac:dyDescent="0.2">
      <c r="A463" s="18" t="s">
        <v>265</v>
      </c>
      <c r="B463"/>
      <c r="C463" s="702">
        <f>(C9+C36+C63+C90+C117+C144+C171+C198+C225+C252+C279+C306+C333+C360+C387+C414)*C25*C462</f>
        <v>0</v>
      </c>
      <c r="D463" s="702">
        <f t="shared" ref="D463:AJ463" si="739">(D9+D36+D63+D90+D117+D144+D171+D198+D225+D252+D279+D306+D333+D360+D387+D414)*D25*D462</f>
        <v>0</v>
      </c>
      <c r="E463" s="702">
        <f t="shared" si="739"/>
        <v>0</v>
      </c>
      <c r="F463" s="702">
        <f t="shared" si="739"/>
        <v>0</v>
      </c>
      <c r="G463" s="702">
        <f t="shared" si="739"/>
        <v>0</v>
      </c>
      <c r="H463" s="702">
        <f t="shared" si="739"/>
        <v>0</v>
      </c>
      <c r="I463" s="702">
        <f t="shared" si="739"/>
        <v>0</v>
      </c>
      <c r="J463" s="702">
        <f t="shared" si="739"/>
        <v>0</v>
      </c>
      <c r="K463" s="702">
        <f t="shared" si="739"/>
        <v>0</v>
      </c>
      <c r="L463" s="702">
        <f t="shared" si="739"/>
        <v>0</v>
      </c>
      <c r="M463" s="702">
        <f t="shared" si="739"/>
        <v>0</v>
      </c>
      <c r="N463" s="702">
        <f t="shared" si="739"/>
        <v>0</v>
      </c>
      <c r="O463" s="702">
        <f t="shared" si="739"/>
        <v>0</v>
      </c>
      <c r="P463" s="702">
        <f t="shared" si="739"/>
        <v>0</v>
      </c>
      <c r="Q463" s="702">
        <f t="shared" si="739"/>
        <v>0</v>
      </c>
      <c r="R463" s="702">
        <f t="shared" si="739"/>
        <v>0</v>
      </c>
      <c r="S463" s="702">
        <f t="shared" si="739"/>
        <v>0</v>
      </c>
      <c r="T463" s="702">
        <f t="shared" si="739"/>
        <v>0</v>
      </c>
      <c r="U463" s="702">
        <f t="shared" si="739"/>
        <v>0</v>
      </c>
      <c r="V463" s="702">
        <f t="shared" si="739"/>
        <v>0</v>
      </c>
      <c r="W463" s="702">
        <f t="shared" si="739"/>
        <v>0</v>
      </c>
      <c r="X463" s="702">
        <f t="shared" si="739"/>
        <v>0</v>
      </c>
      <c r="Y463" s="702">
        <f t="shared" si="739"/>
        <v>0</v>
      </c>
      <c r="Z463" s="702">
        <f t="shared" si="739"/>
        <v>0</v>
      </c>
      <c r="AA463" s="702">
        <f t="shared" si="739"/>
        <v>0</v>
      </c>
      <c r="AB463" s="702">
        <f t="shared" si="739"/>
        <v>0</v>
      </c>
      <c r="AC463" s="702">
        <f t="shared" si="739"/>
        <v>7970134.6406250019</v>
      </c>
      <c r="AD463" s="702">
        <f t="shared" si="739"/>
        <v>15728930.459999999</v>
      </c>
      <c r="AE463" s="702">
        <f t="shared" si="739"/>
        <v>28290729.589537505</v>
      </c>
      <c r="AF463" s="702">
        <f t="shared" si="739"/>
        <v>42728055.581551515</v>
      </c>
      <c r="AG463" s="702">
        <f t="shared" si="739"/>
        <v>53953553.780698188</v>
      </c>
      <c r="AH463" s="702">
        <f t="shared" si="739"/>
        <v>62894417.880998336</v>
      </c>
      <c r="AI463" s="702">
        <f t="shared" si="739"/>
        <v>71586793.576525509</v>
      </c>
      <c r="AJ463" s="702">
        <f t="shared" si="739"/>
        <v>80273854.467465729</v>
      </c>
      <c r="AK463"/>
    </row>
    <row r="464" spans="1:78" ht="12.4" customHeight="1" thickBot="1" x14ac:dyDescent="0.25">
      <c r="A464"/>
      <c r="B464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55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/>
      <c r="AC464" s="109"/>
      <c r="AD464" s="109"/>
      <c r="AE464" s="109"/>
      <c r="AF464"/>
      <c r="AG464"/>
      <c r="AH464"/>
      <c r="AJ464"/>
      <c r="AK464"/>
    </row>
    <row r="465" spans="1:37" ht="12.4" customHeight="1" x14ac:dyDescent="0.2">
      <c r="A465" s="105" t="s">
        <v>266</v>
      </c>
      <c r="B465" s="106"/>
      <c r="C465" s="106">
        <f>C460+C463</f>
        <v>0</v>
      </c>
      <c r="D465" s="106">
        <f t="shared" ref="D465:N465" si="740">D460+D463</f>
        <v>0</v>
      </c>
      <c r="E465" s="106">
        <f t="shared" si="740"/>
        <v>0</v>
      </c>
      <c r="F465" s="106">
        <f t="shared" si="740"/>
        <v>0</v>
      </c>
      <c r="G465" s="106">
        <f t="shared" si="740"/>
        <v>0</v>
      </c>
      <c r="H465" s="106">
        <f t="shared" si="740"/>
        <v>0</v>
      </c>
      <c r="I465" s="106">
        <f t="shared" si="740"/>
        <v>0</v>
      </c>
      <c r="J465" s="106">
        <f t="shared" si="740"/>
        <v>0</v>
      </c>
      <c r="K465" s="106">
        <f t="shared" si="740"/>
        <v>0</v>
      </c>
      <c r="L465" s="106">
        <f t="shared" si="740"/>
        <v>0</v>
      </c>
      <c r="M465" s="106">
        <f t="shared" si="740"/>
        <v>0</v>
      </c>
      <c r="N465" s="106">
        <f t="shared" si="740"/>
        <v>0</v>
      </c>
      <c r="O465" s="107">
        <f>SUM(C465:N465)</f>
        <v>0</v>
      </c>
      <c r="P465" s="106">
        <f>P460+P463</f>
        <v>8333.3333333333339</v>
      </c>
      <c r="Q465" s="106">
        <f t="shared" ref="Q465:AA465" si="741">Q460+Q463</f>
        <v>8333.3333333333339</v>
      </c>
      <c r="R465" s="106">
        <f t="shared" si="741"/>
        <v>8333.3333333333339</v>
      </c>
      <c r="S465" s="106">
        <f t="shared" si="741"/>
        <v>8333.3333333333339</v>
      </c>
      <c r="T465" s="106">
        <f t="shared" si="741"/>
        <v>8333.3333333333339</v>
      </c>
      <c r="U465" s="106">
        <f t="shared" si="741"/>
        <v>8333.3333333333339</v>
      </c>
      <c r="V465" s="106">
        <f t="shared" si="741"/>
        <v>8333.3333333333339</v>
      </c>
      <c r="W465" s="106">
        <f t="shared" si="741"/>
        <v>8333.3333333333339</v>
      </c>
      <c r="X465" s="106">
        <f t="shared" si="741"/>
        <v>8333.3333333333339</v>
      </c>
      <c r="Y465" s="106">
        <f t="shared" si="741"/>
        <v>8333.3333333333339</v>
      </c>
      <c r="Z465" s="106">
        <f t="shared" si="741"/>
        <v>8333.3333333333339</v>
      </c>
      <c r="AA465" s="106">
        <f t="shared" si="741"/>
        <v>8333.3333333333339</v>
      </c>
      <c r="AB465" s="107">
        <f>SUM(P465:AA465)</f>
        <v>99999.999999999985</v>
      </c>
      <c r="AC465" s="106">
        <f t="shared" ref="AC465:AJ465" si="742">AC460+AC463</f>
        <v>8070134.6406250019</v>
      </c>
      <c r="AD465" s="106">
        <f t="shared" si="742"/>
        <v>15828930.459999999</v>
      </c>
      <c r="AE465" s="106">
        <f t="shared" si="742"/>
        <v>28390729.589537505</v>
      </c>
      <c r="AF465" s="106">
        <f t="shared" si="742"/>
        <v>42828055.581551515</v>
      </c>
      <c r="AG465" s="106">
        <f t="shared" si="742"/>
        <v>54053553.780698188</v>
      </c>
      <c r="AH465" s="106">
        <f t="shared" si="742"/>
        <v>62994417.880998336</v>
      </c>
      <c r="AI465" s="106">
        <f t="shared" si="742"/>
        <v>71686793.576525509</v>
      </c>
      <c r="AJ465" s="106">
        <f t="shared" si="742"/>
        <v>80373854.467465729</v>
      </c>
      <c r="AK465"/>
    </row>
    <row r="466" spans="1:37" s="706" customFormat="1" ht="12.4" customHeight="1" x14ac:dyDescent="0.2">
      <c r="A466" s="706" t="s">
        <v>269</v>
      </c>
      <c r="C466" s="733"/>
      <c r="D466" s="733"/>
      <c r="E466" s="733"/>
      <c r="F466" s="733"/>
      <c r="G466" s="733"/>
      <c r="H466" s="733"/>
      <c r="I466" s="733"/>
      <c r="J466" s="733"/>
      <c r="K466" s="733"/>
      <c r="L466" s="733"/>
      <c r="M466" s="733"/>
      <c r="N466" s="733"/>
      <c r="O466" s="805"/>
      <c r="P466" s="733"/>
      <c r="Q466" s="733"/>
      <c r="R466" s="733"/>
      <c r="S466" s="733"/>
      <c r="T466" s="733"/>
      <c r="U466" s="733"/>
      <c r="V466" s="733"/>
      <c r="W466" s="733"/>
      <c r="X466" s="733"/>
      <c r="Y466" s="733"/>
      <c r="Z466" s="733"/>
      <c r="AA466" s="733"/>
      <c r="AB466" s="806">
        <f>AB465/AB452</f>
        <v>5.4635684136085192E-3</v>
      </c>
      <c r="AC466" s="806">
        <f>AC465/AC452</f>
        <v>0.20064710541069852</v>
      </c>
      <c r="AD466" s="806">
        <f>AD465/AD452</f>
        <v>0.2221425880091821</v>
      </c>
      <c r="AE466" s="806">
        <f>AE465/AE452</f>
        <v>0.23366294384675695</v>
      </c>
    </row>
    <row r="467" spans="1:37" ht="12.4" customHeight="1" x14ac:dyDescent="0.2">
      <c r="A467"/>
      <c r="B46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20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/>
      <c r="AC467" s="109"/>
      <c r="AD467" s="109"/>
      <c r="AE467" s="109"/>
      <c r="AF467"/>
      <c r="AG467"/>
      <c r="AH467"/>
      <c r="AJ467"/>
      <c r="AK467"/>
    </row>
    <row r="468" spans="1:37" ht="12.4" customHeight="1" x14ac:dyDescent="0.2">
      <c r="A468"/>
      <c r="B468"/>
      <c r="C468"/>
      <c r="D468"/>
      <c r="E468"/>
      <c r="G468"/>
      <c r="H468"/>
      <c r="I468"/>
      <c r="J468"/>
    </row>
    <row r="469" spans="1:37" ht="12.4" customHeight="1" x14ac:dyDescent="0.2">
      <c r="A469"/>
      <c r="B469"/>
      <c r="C469"/>
      <c r="D469"/>
      <c r="E469"/>
      <c r="G469"/>
      <c r="H469"/>
      <c r="I469"/>
      <c r="J469"/>
    </row>
    <row r="470" spans="1:37" ht="12.4" customHeight="1" x14ac:dyDescent="0.2">
      <c r="A470"/>
      <c r="B470" s="22"/>
      <c r="D470"/>
      <c r="E470"/>
      <c r="G470"/>
      <c r="H470"/>
      <c r="I470"/>
      <c r="J470"/>
    </row>
    <row r="471" spans="1:37" ht="12.4" customHeight="1" x14ac:dyDescent="0.2">
      <c r="A471"/>
      <c r="D471"/>
      <c r="E471" s="22"/>
      <c r="G471"/>
      <c r="H471"/>
      <c r="I471"/>
      <c r="J471"/>
    </row>
    <row r="472" spans="1:37" ht="12.4" customHeight="1" x14ac:dyDescent="0.2">
      <c r="A472"/>
      <c r="D472"/>
      <c r="E472" s="22"/>
      <c r="G472"/>
      <c r="H472"/>
      <c r="I472"/>
      <c r="J472"/>
    </row>
    <row r="473" spans="1:37" ht="12.4" customHeight="1" x14ac:dyDescent="0.2">
      <c r="A473"/>
      <c r="D473" s="22"/>
      <c r="G473"/>
      <c r="H473"/>
      <c r="I473"/>
      <c r="J473"/>
    </row>
    <row r="474" spans="1:37" ht="12.4" customHeight="1" x14ac:dyDescent="0.2">
      <c r="A474"/>
      <c r="G474"/>
      <c r="H474"/>
      <c r="I474"/>
      <c r="J474"/>
    </row>
    <row r="475" spans="1:37" ht="12.4" customHeight="1" x14ac:dyDescent="0.2">
      <c r="A475"/>
      <c r="G475"/>
      <c r="H475"/>
      <c r="I475"/>
      <c r="J475"/>
    </row>
    <row r="476" spans="1:37" ht="12.4" customHeight="1" x14ac:dyDescent="0.2">
      <c r="A476"/>
      <c r="G476"/>
      <c r="H476"/>
      <c r="I476"/>
      <c r="J476"/>
    </row>
    <row r="477" spans="1:37" ht="12.4" customHeight="1" x14ac:dyDescent="0.2">
      <c r="A477"/>
      <c r="G477"/>
      <c r="H477"/>
      <c r="I477"/>
      <c r="J477"/>
    </row>
    <row r="478" spans="1:37" ht="12.4" customHeight="1" x14ac:dyDescent="0.2">
      <c r="A478"/>
      <c r="G478"/>
      <c r="H478"/>
      <c r="I478"/>
      <c r="J478"/>
    </row>
    <row r="479" spans="1:37" ht="12.4" customHeight="1" x14ac:dyDescent="0.2">
      <c r="A479"/>
      <c r="G479"/>
      <c r="H479"/>
      <c r="I479"/>
      <c r="J479"/>
    </row>
    <row r="480" spans="1:37" ht="12.4" customHeight="1" x14ac:dyDescent="0.2">
      <c r="A480"/>
      <c r="J480"/>
    </row>
    <row r="481" spans="1:12" ht="12.4" customHeight="1" x14ac:dyDescent="0.2">
      <c r="A481"/>
    </row>
    <row r="484" spans="1:12" ht="12.4" customHeight="1" x14ac:dyDescent="0.2">
      <c r="G484"/>
      <c r="H484"/>
      <c r="I484"/>
      <c r="J484"/>
      <c r="K484"/>
      <c r="L484"/>
    </row>
    <row r="485" spans="1:12" ht="12.4" customHeight="1" x14ac:dyDescent="0.2">
      <c r="G485"/>
      <c r="H485"/>
      <c r="I485"/>
      <c r="J485"/>
      <c r="K485"/>
      <c r="L485"/>
    </row>
    <row r="486" spans="1:12" ht="12.4" customHeight="1" x14ac:dyDescent="0.2">
      <c r="G486"/>
      <c r="H486"/>
      <c r="I486"/>
      <c r="J486"/>
      <c r="K486"/>
      <c r="L486"/>
    </row>
    <row r="487" spans="1:12" ht="12.4" customHeight="1" x14ac:dyDescent="0.2">
      <c r="G487"/>
      <c r="H487"/>
      <c r="I487"/>
      <c r="J487"/>
      <c r="K487"/>
      <c r="L487"/>
    </row>
    <row r="488" spans="1:12" ht="12.4" customHeight="1" x14ac:dyDescent="0.2">
      <c r="G488"/>
      <c r="H488"/>
      <c r="I488"/>
      <c r="J488"/>
      <c r="K488"/>
      <c r="L488"/>
    </row>
    <row r="489" spans="1:12" ht="12.4" customHeight="1" x14ac:dyDescent="0.2">
      <c r="G489"/>
      <c r="H489"/>
      <c r="I489"/>
      <c r="J489"/>
      <c r="K489"/>
      <c r="L489"/>
    </row>
    <row r="490" spans="1:12" ht="12.4" customHeight="1" x14ac:dyDescent="0.2">
      <c r="G490"/>
      <c r="H490"/>
      <c r="I490"/>
      <c r="J490"/>
      <c r="K490"/>
      <c r="L490"/>
    </row>
    <row r="491" spans="1:12" ht="12.4" customHeight="1" x14ac:dyDescent="0.2">
      <c r="G491"/>
      <c r="H491"/>
      <c r="I491"/>
      <c r="J491"/>
      <c r="K491"/>
      <c r="L491"/>
    </row>
    <row r="492" spans="1:12" ht="12.4" customHeight="1" x14ac:dyDescent="0.2">
      <c r="G492"/>
      <c r="H492"/>
      <c r="I492"/>
      <c r="J492"/>
      <c r="K492"/>
      <c r="L492"/>
    </row>
    <row r="493" spans="1:12" ht="12.4" customHeight="1" x14ac:dyDescent="0.2">
      <c r="G493"/>
      <c r="H493"/>
      <c r="I493"/>
      <c r="J493"/>
      <c r="K493"/>
      <c r="L493"/>
    </row>
    <row r="494" spans="1:12" ht="12.4" customHeight="1" x14ac:dyDescent="0.2">
      <c r="G494"/>
      <c r="H494"/>
      <c r="I494"/>
      <c r="J494"/>
      <c r="K494"/>
      <c r="L494"/>
    </row>
    <row r="495" spans="1:12" ht="12.4" customHeight="1" x14ac:dyDescent="0.2">
      <c r="G495"/>
      <c r="H495"/>
      <c r="I495"/>
      <c r="J495"/>
      <c r="K495"/>
      <c r="L495"/>
    </row>
    <row r="496" spans="1:12" ht="12.4" customHeight="1" x14ac:dyDescent="0.2">
      <c r="G496"/>
      <c r="H496"/>
      <c r="I496"/>
      <c r="J496"/>
      <c r="K496"/>
      <c r="L496"/>
    </row>
    <row r="497" spans="7:12" ht="12.4" customHeight="1" x14ac:dyDescent="0.2">
      <c r="G497"/>
      <c r="H497"/>
      <c r="I497"/>
      <c r="J497"/>
      <c r="K497"/>
      <c r="L497"/>
    </row>
    <row r="498" spans="7:12" ht="12.4" customHeight="1" x14ac:dyDescent="0.2">
      <c r="G498"/>
      <c r="H498"/>
      <c r="I498"/>
      <c r="J498"/>
      <c r="K498"/>
      <c r="L498"/>
    </row>
    <row r="499" spans="7:12" ht="12.4" customHeight="1" x14ac:dyDescent="0.2">
      <c r="G499"/>
      <c r="H499"/>
      <c r="I499"/>
      <c r="J499"/>
      <c r="K499"/>
      <c r="L499"/>
    </row>
  </sheetData>
  <pageMargins left="0.75" right="0.75" top="1" bottom="1" header="0.5" footer="0.5"/>
  <pageSetup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99"/>
  <sheetViews>
    <sheetView showGridLines="0" zoomScale="85" zoomScaleNormal="85" workbookViewId="0">
      <pane xSplit="1" ySplit="2" topLeftCell="AH10" activePane="bottomRight" state="frozenSplit"/>
      <selection pane="topRight"/>
      <selection pane="bottomLeft"/>
      <selection pane="bottomRight" activeCell="AO12" sqref="AO12"/>
    </sheetView>
  </sheetViews>
  <sheetFormatPr defaultColWidth="0" defaultRowHeight="12.4" customHeight="1" outlineLevelCol="1" x14ac:dyDescent="0.2"/>
  <cols>
    <col min="1" max="1" width="54.5" style="1" bestFit="1" customWidth="1"/>
    <col min="2" max="2" width="13.75" style="1" customWidth="1"/>
    <col min="3" max="6" width="13.75" style="1" customWidth="1" outlineLevel="1"/>
    <col min="7" max="7" width="13.625" style="1" customWidth="1"/>
    <col min="8" max="19" width="13.625" style="1" customWidth="1" outlineLevel="1"/>
    <col min="20" max="20" width="13.625" style="1" customWidth="1"/>
    <col min="21" max="32" width="13.625" style="1" customWidth="1" outlineLevel="1"/>
    <col min="33" max="36" width="13.625" style="1" customWidth="1"/>
    <col min="37" max="41" width="13.625" style="1" customWidth="1" outlineLevel="1"/>
    <col min="42" max="42" width="6.625" style="20" customWidth="1"/>
    <col min="43" max="83" width="9" style="1" hidden="1" customWidth="1"/>
    <col min="84" max="93" width="9.125" style="1" hidden="1" customWidth="1"/>
    <col min="94" max="94" width="10.375" style="1" hidden="1" customWidth="1"/>
    <col min="95" max="95" width="9.125" style="1" hidden="1" customWidth="1"/>
    <col min="96" max="113" width="13.625" style="1" hidden="1" customWidth="1"/>
    <col min="114" max="114" width="45.625" style="1" hidden="1" customWidth="1"/>
    <col min="115" max="132" width="13.625" style="1" hidden="1" customWidth="1"/>
    <col min="133" max="133" width="40" style="1" hidden="1" customWidth="1"/>
    <col min="134" max="136" width="13.625" style="1" hidden="1" customWidth="1"/>
    <col min="137" max="137" width="40" style="1" hidden="1" customWidth="1"/>
    <col min="138" max="16384" width="9" style="1" hidden="1"/>
  </cols>
  <sheetData>
    <row r="1" spans="1:42" s="75" customFormat="1" ht="16.149999999999999" customHeight="1" x14ac:dyDescent="0.2">
      <c r="A1" s="76" t="s">
        <v>319</v>
      </c>
      <c r="B1" s="853"/>
      <c r="C1" s="853"/>
      <c r="D1" s="853"/>
      <c r="E1" s="853"/>
      <c r="F1" s="853"/>
      <c r="G1" s="117"/>
      <c r="H1" s="78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9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79"/>
      <c r="AH1" s="117"/>
      <c r="AI1" s="117"/>
      <c r="AJ1" s="117"/>
      <c r="AK1" s="117"/>
      <c r="AL1" s="117"/>
      <c r="AM1" s="117"/>
      <c r="AN1" s="117"/>
      <c r="AO1" s="880"/>
      <c r="AP1" s="993"/>
    </row>
    <row r="2" spans="1:42" ht="13.15" customHeight="1" x14ac:dyDescent="0.2">
      <c r="A2" s="675"/>
      <c r="B2" s="852"/>
      <c r="C2" s="697">
        <v>41153</v>
      </c>
      <c r="D2" s="697">
        <v>41183</v>
      </c>
      <c r="E2" s="697">
        <v>41214</v>
      </c>
      <c r="F2" s="697">
        <v>41244</v>
      </c>
      <c r="G2" s="897">
        <v>2012</v>
      </c>
      <c r="H2" s="697">
        <v>41275</v>
      </c>
      <c r="I2" s="697">
        <v>41306</v>
      </c>
      <c r="J2" s="697">
        <v>41334</v>
      </c>
      <c r="K2" s="697">
        <v>41365</v>
      </c>
      <c r="L2" s="697">
        <v>41395</v>
      </c>
      <c r="M2" s="697">
        <v>41426</v>
      </c>
      <c r="N2" s="697">
        <v>41456</v>
      </c>
      <c r="O2" s="697">
        <v>41487</v>
      </c>
      <c r="P2" s="697">
        <v>41518</v>
      </c>
      <c r="Q2" s="697">
        <v>41548</v>
      </c>
      <c r="R2" s="697">
        <v>41579</v>
      </c>
      <c r="S2" s="697">
        <v>41609</v>
      </c>
      <c r="T2" s="471">
        <v>2013</v>
      </c>
      <c r="U2" s="697">
        <v>41640</v>
      </c>
      <c r="V2" s="697">
        <v>41671</v>
      </c>
      <c r="W2" s="697">
        <v>41699</v>
      </c>
      <c r="X2" s="697">
        <v>41730</v>
      </c>
      <c r="Y2" s="697">
        <v>41760</v>
      </c>
      <c r="Z2" s="697">
        <v>41791</v>
      </c>
      <c r="AA2" s="697">
        <v>41821</v>
      </c>
      <c r="AB2" s="697">
        <v>41852</v>
      </c>
      <c r="AC2" s="697">
        <v>41883</v>
      </c>
      <c r="AD2" s="697">
        <v>41913</v>
      </c>
      <c r="AE2" s="697">
        <v>41944</v>
      </c>
      <c r="AF2" s="697">
        <v>41974</v>
      </c>
      <c r="AG2" s="471">
        <v>2014</v>
      </c>
      <c r="AH2" s="471">
        <v>2015</v>
      </c>
      <c r="AI2" s="471">
        <v>2016</v>
      </c>
      <c r="AJ2" s="471">
        <v>2017</v>
      </c>
      <c r="AK2" s="471">
        <v>2018</v>
      </c>
      <c r="AL2" s="471">
        <v>2019</v>
      </c>
      <c r="AM2" s="471">
        <v>2020</v>
      </c>
      <c r="AN2" s="471">
        <v>2021</v>
      </c>
      <c r="AO2" s="994">
        <v>2022</v>
      </c>
      <c r="AP2" s="470"/>
    </row>
    <row r="3" spans="1:42" s="674" customFormat="1" ht="13.15" customHeight="1" x14ac:dyDescent="0.2">
      <c r="A3" s="676" t="s">
        <v>440</v>
      </c>
      <c r="B3" s="676"/>
      <c r="C3" s="676"/>
      <c r="D3" s="676"/>
      <c r="E3" s="676"/>
      <c r="F3" s="676"/>
      <c r="G3" s="89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915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915"/>
      <c r="AH3" s="915"/>
      <c r="AI3" s="915"/>
      <c r="AJ3" s="915"/>
      <c r="AK3" s="924"/>
      <c r="AL3" s="924"/>
      <c r="AM3" s="924"/>
      <c r="AN3" s="924"/>
      <c r="AO3" s="995"/>
    </row>
    <row r="4" spans="1:42" s="674" customFormat="1" ht="13.15" customHeight="1" x14ac:dyDescent="0.2">
      <c r="A4" s="674" t="s">
        <v>250</v>
      </c>
      <c r="C4" s="865">
        <f>$G4/12</f>
        <v>37500</v>
      </c>
      <c r="D4" s="865">
        <f t="shared" ref="D4:F4" si="0">$G4/12</f>
        <v>37500</v>
      </c>
      <c r="E4" s="865">
        <f t="shared" si="0"/>
        <v>37500</v>
      </c>
      <c r="F4" s="865">
        <f t="shared" si="0"/>
        <v>37500</v>
      </c>
      <c r="G4" s="899">
        <f>450000</f>
        <v>450000</v>
      </c>
      <c r="H4" s="690">
        <f t="shared" ref="H4:M4" si="1">$T4/12</f>
        <v>37500</v>
      </c>
      <c r="I4" s="690">
        <f t="shared" si="1"/>
        <v>37500</v>
      </c>
      <c r="J4" s="690">
        <f t="shared" si="1"/>
        <v>37500</v>
      </c>
      <c r="K4" s="690">
        <f t="shared" si="1"/>
        <v>37500</v>
      </c>
      <c r="L4" s="690">
        <f t="shared" si="1"/>
        <v>37500</v>
      </c>
      <c r="M4" s="690">
        <f t="shared" si="1"/>
        <v>37500</v>
      </c>
      <c r="N4" s="690">
        <f t="shared" ref="N4:S4" si="2">$T4/12</f>
        <v>37500</v>
      </c>
      <c r="O4" s="690">
        <f t="shared" si="2"/>
        <v>37500</v>
      </c>
      <c r="P4" s="690">
        <f t="shared" si="2"/>
        <v>37500</v>
      </c>
      <c r="Q4" s="690">
        <f t="shared" si="2"/>
        <v>37500</v>
      </c>
      <c r="R4" s="690">
        <f t="shared" si="2"/>
        <v>37500</v>
      </c>
      <c r="S4" s="690">
        <f t="shared" si="2"/>
        <v>37500</v>
      </c>
      <c r="T4" s="899">
        <f>450000</f>
        <v>450000</v>
      </c>
      <c r="U4" s="690">
        <f>$AG4/12</f>
        <v>39375</v>
      </c>
      <c r="V4" s="690">
        <f t="shared" ref="V4:AF4" si="3">$AG4/12</f>
        <v>39375</v>
      </c>
      <c r="W4" s="690">
        <f t="shared" si="3"/>
        <v>39375</v>
      </c>
      <c r="X4" s="690">
        <f t="shared" si="3"/>
        <v>39375</v>
      </c>
      <c r="Y4" s="690">
        <f t="shared" si="3"/>
        <v>39375</v>
      </c>
      <c r="Z4" s="690">
        <f t="shared" si="3"/>
        <v>39375</v>
      </c>
      <c r="AA4" s="690">
        <f t="shared" si="3"/>
        <v>39375</v>
      </c>
      <c r="AB4" s="690">
        <f t="shared" si="3"/>
        <v>39375</v>
      </c>
      <c r="AC4" s="690">
        <f t="shared" si="3"/>
        <v>39375</v>
      </c>
      <c r="AD4" s="690">
        <f t="shared" si="3"/>
        <v>39375</v>
      </c>
      <c r="AE4" s="690">
        <f t="shared" si="3"/>
        <v>39375</v>
      </c>
      <c r="AF4" s="690">
        <f t="shared" si="3"/>
        <v>39375</v>
      </c>
      <c r="AG4" s="902">
        <f>T4*(1+AG5)</f>
        <v>472500</v>
      </c>
      <c r="AH4" s="902">
        <f>AG4*(1+AH5)</f>
        <v>496125</v>
      </c>
      <c r="AI4" s="902">
        <f t="shared" ref="AI4:AO4" si="4">AH4*(1+AI5)</f>
        <v>515970</v>
      </c>
      <c r="AJ4" s="902">
        <f t="shared" si="4"/>
        <v>531449.1</v>
      </c>
      <c r="AK4" s="902">
        <f t="shared" si="4"/>
        <v>542078.08199999994</v>
      </c>
      <c r="AL4" s="902">
        <f t="shared" si="4"/>
        <v>547498.86281999992</v>
      </c>
      <c r="AM4" s="902">
        <f t="shared" si="4"/>
        <v>547498.86281999992</v>
      </c>
      <c r="AN4" s="902">
        <f t="shared" si="4"/>
        <v>547498.86281999992</v>
      </c>
      <c r="AO4" s="996">
        <f t="shared" si="4"/>
        <v>547498.86281999992</v>
      </c>
    </row>
    <row r="5" spans="1:42" s="987" customFormat="1" ht="13.15" customHeight="1" x14ac:dyDescent="0.2">
      <c r="A5" s="680" t="s">
        <v>324</v>
      </c>
      <c r="B5" s="680"/>
      <c r="C5" s="680"/>
      <c r="D5" s="680"/>
      <c r="E5" s="680"/>
      <c r="F5" s="680"/>
      <c r="G5" s="900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916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921">
        <v>0.05</v>
      </c>
      <c r="AH5" s="921">
        <v>0.05</v>
      </c>
      <c r="AI5" s="921">
        <f>AH5-1%</f>
        <v>0.04</v>
      </c>
      <c r="AJ5" s="921">
        <f>AI5-1%</f>
        <v>0.03</v>
      </c>
      <c r="AK5" s="921">
        <f>AJ5-1%</f>
        <v>1.9999999999999997E-2</v>
      </c>
      <c r="AL5" s="921">
        <f>AK5-1%</f>
        <v>9.9999999999999967E-3</v>
      </c>
      <c r="AM5" s="921">
        <f>AL5-1%</f>
        <v>0</v>
      </c>
      <c r="AN5" s="925">
        <f>AM5</f>
        <v>0</v>
      </c>
      <c r="AO5" s="997">
        <f>AN5</f>
        <v>0</v>
      </c>
    </row>
    <row r="6" spans="1:42" s="987" customFormat="1" ht="13.15" customHeight="1" x14ac:dyDescent="0.2">
      <c r="A6" s="680" t="s">
        <v>248</v>
      </c>
      <c r="B6" s="680"/>
      <c r="C6" s="687">
        <v>0</v>
      </c>
      <c r="D6" s="687">
        <v>0</v>
      </c>
      <c r="E6" s="687">
        <v>0</v>
      </c>
      <c r="F6" s="687">
        <v>0</v>
      </c>
      <c r="G6" s="901">
        <f>F6</f>
        <v>0</v>
      </c>
      <c r="H6" s="687">
        <v>0</v>
      </c>
      <c r="I6" s="687">
        <v>0</v>
      </c>
      <c r="J6" s="687">
        <v>0</v>
      </c>
      <c r="K6" s="687">
        <v>0</v>
      </c>
      <c r="L6" s="687">
        <v>0</v>
      </c>
      <c r="M6" s="687">
        <v>0</v>
      </c>
      <c r="N6" s="687">
        <v>0</v>
      </c>
      <c r="O6" s="687">
        <v>0</v>
      </c>
      <c r="P6" s="687">
        <v>0</v>
      </c>
      <c r="Q6" s="687">
        <v>0</v>
      </c>
      <c r="R6" s="687">
        <v>0</v>
      </c>
      <c r="S6" s="687">
        <v>0</v>
      </c>
      <c r="T6" s="916">
        <f>S6</f>
        <v>0</v>
      </c>
      <c r="U6" s="687">
        <v>0</v>
      </c>
      <c r="V6" s="687">
        <v>0</v>
      </c>
      <c r="W6" s="687">
        <f t="shared" ref="W6:AB6" si="5">V6+0.1%</f>
        <v>1E-3</v>
      </c>
      <c r="X6" s="687">
        <f t="shared" si="5"/>
        <v>2E-3</v>
      </c>
      <c r="Y6" s="687">
        <f t="shared" si="5"/>
        <v>3.0000000000000001E-3</v>
      </c>
      <c r="Z6" s="687">
        <f t="shared" si="5"/>
        <v>4.0000000000000001E-3</v>
      </c>
      <c r="AA6" s="687">
        <f t="shared" si="5"/>
        <v>5.0000000000000001E-3</v>
      </c>
      <c r="AB6" s="687">
        <f t="shared" si="5"/>
        <v>6.0000000000000001E-3</v>
      </c>
      <c r="AC6" s="687">
        <f>AB6+0.1%</f>
        <v>7.0000000000000001E-3</v>
      </c>
      <c r="AD6" s="687">
        <f>AC6+0.1%</f>
        <v>8.0000000000000002E-3</v>
      </c>
      <c r="AE6" s="687">
        <f>AD6+0.1%</f>
        <v>9.0000000000000011E-3</v>
      </c>
      <c r="AF6" s="687">
        <f>AE6+0.1%</f>
        <v>1.0000000000000002E-2</v>
      </c>
      <c r="AG6" s="916">
        <f>AF6</f>
        <v>1.0000000000000002E-2</v>
      </c>
      <c r="AH6" s="921">
        <v>2.5000000000000001E-2</v>
      </c>
      <c r="AI6" s="921">
        <f>AH6*2</f>
        <v>0.05</v>
      </c>
      <c r="AJ6" s="921">
        <f>AI6*2</f>
        <v>0.1</v>
      </c>
      <c r="AK6" s="925">
        <v>0.12</v>
      </c>
      <c r="AL6" s="925">
        <f>AK6+2%</f>
        <v>0.13999999999999999</v>
      </c>
      <c r="AM6" s="925">
        <f>AL6+2%</f>
        <v>0.15999999999999998</v>
      </c>
      <c r="AN6" s="925">
        <f>AM6+2%</f>
        <v>0.17999999999999997</v>
      </c>
      <c r="AO6" s="997">
        <f>AN6+2%</f>
        <v>0.19999999999999996</v>
      </c>
    </row>
    <row r="7" spans="1:42" s="18" customFormat="1" ht="13.15" customHeight="1" x14ac:dyDescent="0.2">
      <c r="A7" s="680" t="s">
        <v>251</v>
      </c>
      <c r="B7" s="680"/>
      <c r="C7" s="690">
        <f t="shared" ref="C7:F7" si="6">C4*C6</f>
        <v>0</v>
      </c>
      <c r="D7" s="690">
        <f t="shared" si="6"/>
        <v>0</v>
      </c>
      <c r="E7" s="690">
        <f t="shared" si="6"/>
        <v>0</v>
      </c>
      <c r="F7" s="690">
        <f t="shared" si="6"/>
        <v>0</v>
      </c>
      <c r="G7" s="902">
        <f>SUM(C7:F7)</f>
        <v>0</v>
      </c>
      <c r="H7" s="690">
        <f t="shared" ref="H7:N7" si="7">H4*H6</f>
        <v>0</v>
      </c>
      <c r="I7" s="690">
        <f t="shared" si="7"/>
        <v>0</v>
      </c>
      <c r="J7" s="690">
        <f t="shared" si="7"/>
        <v>0</v>
      </c>
      <c r="K7" s="690">
        <f t="shared" si="7"/>
        <v>0</v>
      </c>
      <c r="L7" s="690">
        <f t="shared" si="7"/>
        <v>0</v>
      </c>
      <c r="M7" s="690">
        <f t="shared" si="7"/>
        <v>0</v>
      </c>
      <c r="N7" s="690">
        <f t="shared" si="7"/>
        <v>0</v>
      </c>
      <c r="O7" s="690">
        <f t="shared" ref="O7:S7" si="8">O4*O6</f>
        <v>0</v>
      </c>
      <c r="P7" s="690">
        <f t="shared" si="8"/>
        <v>0</v>
      </c>
      <c r="Q7" s="690">
        <f t="shared" si="8"/>
        <v>0</v>
      </c>
      <c r="R7" s="690">
        <f t="shared" si="8"/>
        <v>0</v>
      </c>
      <c r="S7" s="690">
        <f t="shared" si="8"/>
        <v>0</v>
      </c>
      <c r="T7" s="917">
        <f>SUM(H7:S7)</f>
        <v>0</v>
      </c>
      <c r="U7" s="690">
        <f t="shared" ref="U7:AF7" si="9">U4*U6</f>
        <v>0</v>
      </c>
      <c r="V7" s="690">
        <f t="shared" si="9"/>
        <v>0</v>
      </c>
      <c r="W7" s="690">
        <f t="shared" si="9"/>
        <v>39.375</v>
      </c>
      <c r="X7" s="690">
        <f t="shared" si="9"/>
        <v>78.75</v>
      </c>
      <c r="Y7" s="690">
        <f t="shared" si="9"/>
        <v>118.125</v>
      </c>
      <c r="Z7" s="690">
        <f t="shared" si="9"/>
        <v>157.5</v>
      </c>
      <c r="AA7" s="690">
        <f t="shared" si="9"/>
        <v>196.875</v>
      </c>
      <c r="AB7" s="690">
        <f t="shared" si="9"/>
        <v>236.25</v>
      </c>
      <c r="AC7" s="690">
        <f t="shared" si="9"/>
        <v>275.625</v>
      </c>
      <c r="AD7" s="690">
        <f t="shared" si="9"/>
        <v>315</v>
      </c>
      <c r="AE7" s="690">
        <f t="shared" si="9"/>
        <v>354.37500000000006</v>
      </c>
      <c r="AF7" s="690">
        <f t="shared" si="9"/>
        <v>393.75000000000006</v>
      </c>
      <c r="AG7" s="902">
        <f>SUM(U7:AF7)</f>
        <v>2165.625</v>
      </c>
      <c r="AH7" s="902">
        <f>AH4*AVERAGE(AF6,AH6)</f>
        <v>8682.1875</v>
      </c>
      <c r="AI7" s="902">
        <f t="shared" ref="AI7:AO7" si="10">AI4*AVERAGE(AH6,AI6)</f>
        <v>19348.875000000004</v>
      </c>
      <c r="AJ7" s="902">
        <f t="shared" si="10"/>
        <v>39858.682500000003</v>
      </c>
      <c r="AK7" s="902">
        <f t="shared" si="10"/>
        <v>59628.589019999992</v>
      </c>
      <c r="AL7" s="902">
        <f t="shared" si="10"/>
        <v>71174.852166599987</v>
      </c>
      <c r="AM7" s="902">
        <f t="shared" si="10"/>
        <v>82124.829422999974</v>
      </c>
      <c r="AN7" s="902">
        <f t="shared" si="10"/>
        <v>93074.806679399975</v>
      </c>
      <c r="AO7" s="996">
        <f t="shared" si="10"/>
        <v>104024.78393579996</v>
      </c>
    </row>
    <row r="8" spans="1:42" s="18" customFormat="1" ht="13.15" customHeight="1" x14ac:dyDescent="0.2">
      <c r="A8" s="680" t="s">
        <v>249</v>
      </c>
      <c r="B8" s="680"/>
      <c r="C8" s="686">
        <v>2.5</v>
      </c>
      <c r="D8" s="686">
        <f>C8</f>
        <v>2.5</v>
      </c>
      <c r="E8" s="686">
        <f t="shared" ref="E8:F8" si="11">D8</f>
        <v>2.5</v>
      </c>
      <c r="F8" s="686">
        <f t="shared" si="11"/>
        <v>2.5</v>
      </c>
      <c r="G8" s="903">
        <f>F8</f>
        <v>2.5</v>
      </c>
      <c r="H8" s="686">
        <f>F8</f>
        <v>2.5</v>
      </c>
      <c r="I8" s="686">
        <f t="shared" ref="I8" si="12">H8</f>
        <v>2.5</v>
      </c>
      <c r="J8" s="686">
        <f t="shared" ref="J8" si="13">I8</f>
        <v>2.5</v>
      </c>
      <c r="K8" s="686">
        <f t="shared" ref="K8" si="14">J8</f>
        <v>2.5</v>
      </c>
      <c r="L8" s="686">
        <f t="shared" ref="L8" si="15">K8</f>
        <v>2.5</v>
      </c>
      <c r="M8" s="686">
        <f t="shared" ref="M8" si="16">L8</f>
        <v>2.5</v>
      </c>
      <c r="N8" s="686">
        <f t="shared" ref="N8" si="17">M8</f>
        <v>2.5</v>
      </c>
      <c r="O8" s="686">
        <f t="shared" ref="O8:T8" si="18">N8</f>
        <v>2.5</v>
      </c>
      <c r="P8" s="686">
        <f t="shared" si="18"/>
        <v>2.5</v>
      </c>
      <c r="Q8" s="686">
        <f t="shared" si="18"/>
        <v>2.5</v>
      </c>
      <c r="R8" s="686">
        <f t="shared" si="18"/>
        <v>2.5</v>
      </c>
      <c r="S8" s="686">
        <f t="shared" si="18"/>
        <v>2.5</v>
      </c>
      <c r="T8" s="903">
        <f t="shared" si="18"/>
        <v>2.5</v>
      </c>
      <c r="U8" s="686">
        <f>S8</f>
        <v>2.5</v>
      </c>
      <c r="V8" s="686">
        <f>U8</f>
        <v>2.5</v>
      </c>
      <c r="W8" s="686">
        <f t="shared" ref="W8:AF8" si="19">V8</f>
        <v>2.5</v>
      </c>
      <c r="X8" s="686">
        <f t="shared" si="19"/>
        <v>2.5</v>
      </c>
      <c r="Y8" s="686">
        <f t="shared" si="19"/>
        <v>2.5</v>
      </c>
      <c r="Z8" s="686">
        <f t="shared" si="19"/>
        <v>2.5</v>
      </c>
      <c r="AA8" s="686">
        <f t="shared" si="19"/>
        <v>2.5</v>
      </c>
      <c r="AB8" s="686">
        <f t="shared" si="19"/>
        <v>2.5</v>
      </c>
      <c r="AC8" s="686">
        <f t="shared" si="19"/>
        <v>2.5</v>
      </c>
      <c r="AD8" s="686">
        <f t="shared" si="19"/>
        <v>2.5</v>
      </c>
      <c r="AE8" s="686">
        <f t="shared" si="19"/>
        <v>2.5</v>
      </c>
      <c r="AF8" s="686">
        <f t="shared" si="19"/>
        <v>2.5</v>
      </c>
      <c r="AG8" s="919">
        <f>AF8</f>
        <v>2.5</v>
      </c>
      <c r="AH8" s="919">
        <f>AG8</f>
        <v>2.5</v>
      </c>
      <c r="AI8" s="919">
        <f t="shared" ref="AI8:AO8" si="20">AH8</f>
        <v>2.5</v>
      </c>
      <c r="AJ8" s="919">
        <f t="shared" si="20"/>
        <v>2.5</v>
      </c>
      <c r="AK8" s="919">
        <f t="shared" si="20"/>
        <v>2.5</v>
      </c>
      <c r="AL8" s="919">
        <f t="shared" si="20"/>
        <v>2.5</v>
      </c>
      <c r="AM8" s="919">
        <f t="shared" si="20"/>
        <v>2.5</v>
      </c>
      <c r="AN8" s="919">
        <f t="shared" si="20"/>
        <v>2.5</v>
      </c>
      <c r="AO8" s="998">
        <f t="shared" si="20"/>
        <v>2.5</v>
      </c>
    </row>
    <row r="9" spans="1:42" s="18" customFormat="1" ht="13.15" customHeight="1" x14ac:dyDescent="0.2">
      <c r="A9" s="680" t="s">
        <v>255</v>
      </c>
      <c r="B9" s="680"/>
      <c r="C9" s="690">
        <f t="shared" ref="C9:F9" si="21">C7*C8</f>
        <v>0</v>
      </c>
      <c r="D9" s="690">
        <f t="shared" si="21"/>
        <v>0</v>
      </c>
      <c r="E9" s="690">
        <f t="shared" si="21"/>
        <v>0</v>
      </c>
      <c r="F9" s="690">
        <f t="shared" si="21"/>
        <v>0</v>
      </c>
      <c r="G9" s="902">
        <f>SUM(C9:F9)</f>
        <v>0</v>
      </c>
      <c r="H9" s="690">
        <f t="shared" ref="H9:N9" si="22">H7*H8</f>
        <v>0</v>
      </c>
      <c r="I9" s="690">
        <f t="shared" si="22"/>
        <v>0</v>
      </c>
      <c r="J9" s="690">
        <f t="shared" si="22"/>
        <v>0</v>
      </c>
      <c r="K9" s="690">
        <f t="shared" si="22"/>
        <v>0</v>
      </c>
      <c r="L9" s="690">
        <f t="shared" si="22"/>
        <v>0</v>
      </c>
      <c r="M9" s="690">
        <f t="shared" si="22"/>
        <v>0</v>
      </c>
      <c r="N9" s="690">
        <f t="shared" si="22"/>
        <v>0</v>
      </c>
      <c r="O9" s="690">
        <f t="shared" ref="O9:S9" si="23">O7*O8</f>
        <v>0</v>
      </c>
      <c r="P9" s="690">
        <f t="shared" si="23"/>
        <v>0</v>
      </c>
      <c r="Q9" s="690">
        <f t="shared" si="23"/>
        <v>0</v>
      </c>
      <c r="R9" s="690">
        <f t="shared" si="23"/>
        <v>0</v>
      </c>
      <c r="S9" s="690">
        <f t="shared" si="23"/>
        <v>0</v>
      </c>
      <c r="T9" s="918">
        <f>SUM(H9:S9)</f>
        <v>0</v>
      </c>
      <c r="U9" s="690">
        <f t="shared" ref="U9:AF9" si="24">U7*U8</f>
        <v>0</v>
      </c>
      <c r="V9" s="690">
        <f t="shared" si="24"/>
        <v>0</v>
      </c>
      <c r="W9" s="690">
        <f t="shared" si="24"/>
        <v>98.4375</v>
      </c>
      <c r="X9" s="690">
        <f t="shared" si="24"/>
        <v>196.875</v>
      </c>
      <c r="Y9" s="690">
        <f t="shared" si="24"/>
        <v>295.3125</v>
      </c>
      <c r="Z9" s="690">
        <f t="shared" si="24"/>
        <v>393.75</v>
      </c>
      <c r="AA9" s="690">
        <f t="shared" si="24"/>
        <v>492.1875</v>
      </c>
      <c r="AB9" s="690">
        <f t="shared" si="24"/>
        <v>590.625</v>
      </c>
      <c r="AC9" s="690">
        <f t="shared" si="24"/>
        <v>689.0625</v>
      </c>
      <c r="AD9" s="690">
        <f t="shared" si="24"/>
        <v>787.5</v>
      </c>
      <c r="AE9" s="690">
        <f t="shared" si="24"/>
        <v>885.93750000000011</v>
      </c>
      <c r="AF9" s="690">
        <f t="shared" si="24"/>
        <v>984.37500000000011</v>
      </c>
      <c r="AG9" s="918">
        <f>SUM(U9:AF9)</f>
        <v>5414.0625</v>
      </c>
      <c r="AH9" s="902">
        <f t="shared" ref="AH9:AO9" si="25">AH7*AH8</f>
        <v>21705.46875</v>
      </c>
      <c r="AI9" s="902">
        <f t="shared" si="25"/>
        <v>48372.187500000007</v>
      </c>
      <c r="AJ9" s="902">
        <f t="shared" si="25"/>
        <v>99646.706250000003</v>
      </c>
      <c r="AK9" s="902">
        <f t="shared" si="25"/>
        <v>149071.47254999998</v>
      </c>
      <c r="AL9" s="902">
        <f t="shared" si="25"/>
        <v>177937.13041649997</v>
      </c>
      <c r="AM9" s="902">
        <f t="shared" si="25"/>
        <v>205312.07355749994</v>
      </c>
      <c r="AN9" s="902">
        <f t="shared" si="25"/>
        <v>232687.01669849994</v>
      </c>
      <c r="AO9" s="996">
        <f t="shared" si="25"/>
        <v>260061.9598394999</v>
      </c>
    </row>
    <row r="10" spans="1:42" s="34" customFormat="1" ht="12.4" customHeight="1" x14ac:dyDescent="0.2">
      <c r="A10" s="1"/>
      <c r="B10" s="1"/>
      <c r="C10" s="1"/>
      <c r="D10" s="1"/>
      <c r="E10" s="1"/>
      <c r="F10" s="1"/>
      <c r="G10" s="26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68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68"/>
      <c r="AH10" s="268"/>
      <c r="AI10" s="268"/>
      <c r="AJ10" s="268"/>
      <c r="AK10" s="268"/>
      <c r="AL10" s="268"/>
      <c r="AM10" s="268"/>
      <c r="AN10" s="268"/>
      <c r="AO10" s="999"/>
      <c r="AP10" s="18"/>
    </row>
    <row r="11" spans="1:42" s="18" customFormat="1" ht="13.15" customHeight="1" x14ac:dyDescent="0.2">
      <c r="A11" s="680" t="s">
        <v>253</v>
      </c>
      <c r="B11" s="680"/>
      <c r="C11" s="689">
        <v>0</v>
      </c>
      <c r="D11" s="689">
        <v>0</v>
      </c>
      <c r="E11" s="689">
        <v>0</v>
      </c>
      <c r="F11" s="689">
        <v>0</v>
      </c>
      <c r="G11" s="902">
        <f>F11</f>
        <v>0</v>
      </c>
      <c r="H11" s="689">
        <v>0</v>
      </c>
      <c r="I11" s="689">
        <v>0</v>
      </c>
      <c r="J11" s="689">
        <v>0</v>
      </c>
      <c r="K11" s="689">
        <v>0</v>
      </c>
      <c r="L11" s="689">
        <v>0</v>
      </c>
      <c r="M11" s="689">
        <v>0</v>
      </c>
      <c r="N11" s="689">
        <v>4</v>
      </c>
      <c r="O11" s="689">
        <f>N11+2</f>
        <v>6</v>
      </c>
      <c r="P11" s="689">
        <f>O11+2</f>
        <v>8</v>
      </c>
      <c r="Q11" s="689">
        <f>P11+2</f>
        <v>10</v>
      </c>
      <c r="R11" s="689">
        <f>Q11+2</f>
        <v>12</v>
      </c>
      <c r="S11" s="689">
        <f>R11+2</f>
        <v>14</v>
      </c>
      <c r="T11" s="902">
        <f>S11</f>
        <v>14</v>
      </c>
      <c r="U11" s="689">
        <f>S11+2</f>
        <v>16</v>
      </c>
      <c r="V11" s="689">
        <f>U11+2</f>
        <v>18</v>
      </c>
      <c r="W11" s="689">
        <f>V11+2</f>
        <v>20</v>
      </c>
      <c r="X11" s="689">
        <f>W11+2</f>
        <v>22</v>
      </c>
      <c r="Y11" s="689">
        <v>23</v>
      </c>
      <c r="Z11" s="689">
        <f>Y11</f>
        <v>23</v>
      </c>
      <c r="AA11" s="689">
        <f t="shared" ref="AA11:AF11" si="26">Z11</f>
        <v>23</v>
      </c>
      <c r="AB11" s="689">
        <f t="shared" si="26"/>
        <v>23</v>
      </c>
      <c r="AC11" s="689">
        <f t="shared" si="26"/>
        <v>23</v>
      </c>
      <c r="AD11" s="689">
        <f t="shared" si="26"/>
        <v>23</v>
      </c>
      <c r="AE11" s="689">
        <f t="shared" si="26"/>
        <v>23</v>
      </c>
      <c r="AF11" s="689">
        <f t="shared" si="26"/>
        <v>23</v>
      </c>
      <c r="AG11" s="902">
        <f>AF11</f>
        <v>23</v>
      </c>
      <c r="AH11" s="899">
        <v>23</v>
      </c>
      <c r="AI11" s="899">
        <f t="shared" ref="AI11:AO11" si="27">AH11</f>
        <v>23</v>
      </c>
      <c r="AJ11" s="899">
        <f t="shared" si="27"/>
        <v>23</v>
      </c>
      <c r="AK11" s="899">
        <f t="shared" si="27"/>
        <v>23</v>
      </c>
      <c r="AL11" s="899">
        <f t="shared" si="27"/>
        <v>23</v>
      </c>
      <c r="AM11" s="899">
        <f t="shared" si="27"/>
        <v>23</v>
      </c>
      <c r="AN11" s="899">
        <f t="shared" si="27"/>
        <v>23</v>
      </c>
      <c r="AO11" s="1000">
        <f t="shared" si="27"/>
        <v>23</v>
      </c>
    </row>
    <row r="12" spans="1:42" s="18" customFormat="1" ht="13.15" customHeight="1" x14ac:dyDescent="0.2">
      <c r="A12" s="680" t="s">
        <v>252</v>
      </c>
      <c r="B12" s="680"/>
      <c r="C12" s="689">
        <v>0</v>
      </c>
      <c r="D12" s="689">
        <v>0</v>
      </c>
      <c r="E12" s="689">
        <v>0</v>
      </c>
      <c r="F12" s="689">
        <v>0</v>
      </c>
      <c r="G12" s="902">
        <f>SUM(C12:F12)</f>
        <v>0</v>
      </c>
      <c r="H12" s="689">
        <v>0</v>
      </c>
      <c r="I12" s="689">
        <v>0</v>
      </c>
      <c r="J12" s="689">
        <v>0</v>
      </c>
      <c r="K12" s="689">
        <v>0</v>
      </c>
      <c r="L12" s="689">
        <v>0</v>
      </c>
      <c r="M12" s="689">
        <v>0</v>
      </c>
      <c r="N12" s="689">
        <v>0</v>
      </c>
      <c r="O12" s="689">
        <v>0</v>
      </c>
      <c r="P12" s="689">
        <v>0</v>
      </c>
      <c r="Q12" s="689">
        <v>0</v>
      </c>
      <c r="R12" s="689">
        <v>0</v>
      </c>
      <c r="S12" s="689">
        <v>0</v>
      </c>
      <c r="T12" s="917">
        <f>SUM(H12:S12)</f>
        <v>0</v>
      </c>
      <c r="U12" s="689">
        <v>0</v>
      </c>
      <c r="V12" s="689">
        <v>0</v>
      </c>
      <c r="W12" s="689">
        <f t="shared" ref="W12:AF12" si="28">100/12</f>
        <v>8.3333333333333339</v>
      </c>
      <c r="X12" s="689">
        <f t="shared" si="28"/>
        <v>8.3333333333333339</v>
      </c>
      <c r="Y12" s="689">
        <f t="shared" si="28"/>
        <v>8.3333333333333339</v>
      </c>
      <c r="Z12" s="689">
        <f t="shared" si="28"/>
        <v>8.3333333333333339</v>
      </c>
      <c r="AA12" s="689">
        <f t="shared" si="28"/>
        <v>8.3333333333333339</v>
      </c>
      <c r="AB12" s="689">
        <f t="shared" si="28"/>
        <v>8.3333333333333339</v>
      </c>
      <c r="AC12" s="689">
        <f t="shared" si="28"/>
        <v>8.3333333333333339</v>
      </c>
      <c r="AD12" s="689">
        <f t="shared" si="28"/>
        <v>8.3333333333333339</v>
      </c>
      <c r="AE12" s="689">
        <f t="shared" si="28"/>
        <v>8.3333333333333339</v>
      </c>
      <c r="AF12" s="689">
        <f t="shared" si="28"/>
        <v>8.3333333333333339</v>
      </c>
      <c r="AG12" s="917">
        <f>SUM(U12:AF12)</f>
        <v>83.333333333333329</v>
      </c>
      <c r="AH12" s="899">
        <v>100</v>
      </c>
      <c r="AI12" s="899">
        <v>100</v>
      </c>
      <c r="AJ12" s="899">
        <v>100</v>
      </c>
      <c r="AK12" s="899">
        <v>100</v>
      </c>
      <c r="AL12" s="899">
        <v>100</v>
      </c>
      <c r="AM12" s="899">
        <v>100</v>
      </c>
      <c r="AN12" s="899">
        <v>100</v>
      </c>
      <c r="AO12" s="1000">
        <v>100</v>
      </c>
    </row>
    <row r="13" spans="1:42" s="18" customFormat="1" ht="13.15" customHeight="1" x14ac:dyDescent="0.2">
      <c r="A13" s="680" t="s">
        <v>254</v>
      </c>
      <c r="B13" s="680"/>
      <c r="C13" s="690">
        <f t="shared" ref="C13:F13" si="29">C11*C12</f>
        <v>0</v>
      </c>
      <c r="D13" s="690">
        <f t="shared" si="29"/>
        <v>0</v>
      </c>
      <c r="E13" s="690">
        <f t="shared" si="29"/>
        <v>0</v>
      </c>
      <c r="F13" s="690">
        <f t="shared" si="29"/>
        <v>0</v>
      </c>
      <c r="G13" s="902">
        <f>SUM(C13:F13)</f>
        <v>0</v>
      </c>
      <c r="H13" s="690">
        <f t="shared" ref="H13:N13" si="30">H11*H12</f>
        <v>0</v>
      </c>
      <c r="I13" s="690">
        <f t="shared" si="30"/>
        <v>0</v>
      </c>
      <c r="J13" s="690">
        <f t="shared" si="30"/>
        <v>0</v>
      </c>
      <c r="K13" s="690">
        <f t="shared" si="30"/>
        <v>0</v>
      </c>
      <c r="L13" s="690">
        <f t="shared" si="30"/>
        <v>0</v>
      </c>
      <c r="M13" s="690">
        <f t="shared" si="30"/>
        <v>0</v>
      </c>
      <c r="N13" s="690">
        <f t="shared" si="30"/>
        <v>0</v>
      </c>
      <c r="O13" s="690">
        <f t="shared" ref="O13:S13" si="31">O11*O12</f>
        <v>0</v>
      </c>
      <c r="P13" s="690">
        <f t="shared" si="31"/>
        <v>0</v>
      </c>
      <c r="Q13" s="690">
        <f t="shared" si="31"/>
        <v>0</v>
      </c>
      <c r="R13" s="690">
        <f t="shared" si="31"/>
        <v>0</v>
      </c>
      <c r="S13" s="690">
        <f t="shared" si="31"/>
        <v>0</v>
      </c>
      <c r="T13" s="917">
        <f>SUM(H13:S13)</f>
        <v>0</v>
      </c>
      <c r="U13" s="690">
        <f t="shared" ref="U13:AF13" si="32">U11*U12</f>
        <v>0</v>
      </c>
      <c r="V13" s="690">
        <f t="shared" si="32"/>
        <v>0</v>
      </c>
      <c r="W13" s="690">
        <f t="shared" si="32"/>
        <v>166.66666666666669</v>
      </c>
      <c r="X13" s="690">
        <f t="shared" si="32"/>
        <v>183.33333333333334</v>
      </c>
      <c r="Y13" s="690">
        <f t="shared" si="32"/>
        <v>191.66666666666669</v>
      </c>
      <c r="Z13" s="690">
        <f t="shared" si="32"/>
        <v>191.66666666666669</v>
      </c>
      <c r="AA13" s="690">
        <f t="shared" si="32"/>
        <v>191.66666666666669</v>
      </c>
      <c r="AB13" s="690">
        <f t="shared" si="32"/>
        <v>191.66666666666669</v>
      </c>
      <c r="AC13" s="690">
        <f t="shared" si="32"/>
        <v>191.66666666666669</v>
      </c>
      <c r="AD13" s="690">
        <f t="shared" si="32"/>
        <v>191.66666666666669</v>
      </c>
      <c r="AE13" s="690">
        <f t="shared" si="32"/>
        <v>191.66666666666669</v>
      </c>
      <c r="AF13" s="690">
        <f t="shared" si="32"/>
        <v>191.66666666666669</v>
      </c>
      <c r="AG13" s="902">
        <f>SUM(U13:AF13)</f>
        <v>1883.3333333333339</v>
      </c>
      <c r="AH13" s="902">
        <f t="shared" ref="AH13:AO13" si="33">AH11*AH12</f>
        <v>2300</v>
      </c>
      <c r="AI13" s="902">
        <f t="shared" si="33"/>
        <v>2300</v>
      </c>
      <c r="AJ13" s="902">
        <f t="shared" si="33"/>
        <v>2300</v>
      </c>
      <c r="AK13" s="902">
        <f t="shared" si="33"/>
        <v>2300</v>
      </c>
      <c r="AL13" s="902">
        <f t="shared" si="33"/>
        <v>2300</v>
      </c>
      <c r="AM13" s="902">
        <f t="shared" si="33"/>
        <v>2300</v>
      </c>
      <c r="AN13" s="902">
        <f t="shared" si="33"/>
        <v>2300</v>
      </c>
      <c r="AO13" s="996">
        <f t="shared" si="33"/>
        <v>2300</v>
      </c>
    </row>
    <row r="14" spans="1:42" s="18" customFormat="1" ht="13.15" customHeight="1" x14ac:dyDescent="0.2">
      <c r="A14" s="680" t="s">
        <v>249</v>
      </c>
      <c r="B14" s="680"/>
      <c r="C14" s="686">
        <f t="shared" ref="C14:F14" si="34">C8</f>
        <v>2.5</v>
      </c>
      <c r="D14" s="686">
        <f t="shared" si="34"/>
        <v>2.5</v>
      </c>
      <c r="E14" s="686">
        <f t="shared" si="34"/>
        <v>2.5</v>
      </c>
      <c r="F14" s="686">
        <f t="shared" si="34"/>
        <v>2.5</v>
      </c>
      <c r="G14" s="903">
        <f>G8</f>
        <v>2.5</v>
      </c>
      <c r="H14" s="686">
        <f t="shared" ref="H14:N14" si="35">H8</f>
        <v>2.5</v>
      </c>
      <c r="I14" s="686">
        <f t="shared" si="35"/>
        <v>2.5</v>
      </c>
      <c r="J14" s="686">
        <f t="shared" si="35"/>
        <v>2.5</v>
      </c>
      <c r="K14" s="686">
        <f t="shared" si="35"/>
        <v>2.5</v>
      </c>
      <c r="L14" s="686">
        <f t="shared" si="35"/>
        <v>2.5</v>
      </c>
      <c r="M14" s="686">
        <f t="shared" si="35"/>
        <v>2.5</v>
      </c>
      <c r="N14" s="686">
        <f t="shared" si="35"/>
        <v>2.5</v>
      </c>
      <c r="O14" s="686">
        <f t="shared" ref="O14:AO14" si="36">O8</f>
        <v>2.5</v>
      </c>
      <c r="P14" s="686">
        <f t="shared" si="36"/>
        <v>2.5</v>
      </c>
      <c r="Q14" s="686">
        <f t="shared" si="36"/>
        <v>2.5</v>
      </c>
      <c r="R14" s="686">
        <f t="shared" si="36"/>
        <v>2.5</v>
      </c>
      <c r="S14" s="686">
        <f t="shared" si="36"/>
        <v>2.5</v>
      </c>
      <c r="T14" s="919">
        <f t="shared" si="36"/>
        <v>2.5</v>
      </c>
      <c r="U14" s="686">
        <f t="shared" si="36"/>
        <v>2.5</v>
      </c>
      <c r="V14" s="686">
        <f t="shared" si="36"/>
        <v>2.5</v>
      </c>
      <c r="W14" s="686">
        <f t="shared" si="36"/>
        <v>2.5</v>
      </c>
      <c r="X14" s="686">
        <f t="shared" si="36"/>
        <v>2.5</v>
      </c>
      <c r="Y14" s="686">
        <f t="shared" si="36"/>
        <v>2.5</v>
      </c>
      <c r="Z14" s="686">
        <f t="shared" si="36"/>
        <v>2.5</v>
      </c>
      <c r="AA14" s="686">
        <f t="shared" si="36"/>
        <v>2.5</v>
      </c>
      <c r="AB14" s="686">
        <f t="shared" si="36"/>
        <v>2.5</v>
      </c>
      <c r="AC14" s="686">
        <f t="shared" si="36"/>
        <v>2.5</v>
      </c>
      <c r="AD14" s="686">
        <f t="shared" si="36"/>
        <v>2.5</v>
      </c>
      <c r="AE14" s="686">
        <f t="shared" si="36"/>
        <v>2.5</v>
      </c>
      <c r="AF14" s="686">
        <f t="shared" si="36"/>
        <v>2.5</v>
      </c>
      <c r="AG14" s="919">
        <f t="shared" si="36"/>
        <v>2.5</v>
      </c>
      <c r="AH14" s="919">
        <f t="shared" si="36"/>
        <v>2.5</v>
      </c>
      <c r="AI14" s="919">
        <f t="shared" si="36"/>
        <v>2.5</v>
      </c>
      <c r="AJ14" s="919">
        <f t="shared" si="36"/>
        <v>2.5</v>
      </c>
      <c r="AK14" s="919">
        <f t="shared" si="36"/>
        <v>2.5</v>
      </c>
      <c r="AL14" s="919">
        <f t="shared" si="36"/>
        <v>2.5</v>
      </c>
      <c r="AM14" s="919">
        <f t="shared" si="36"/>
        <v>2.5</v>
      </c>
      <c r="AN14" s="919">
        <f t="shared" si="36"/>
        <v>2.5</v>
      </c>
      <c r="AO14" s="998">
        <f t="shared" si="36"/>
        <v>2.5</v>
      </c>
    </row>
    <row r="15" spans="1:42" s="18" customFormat="1" ht="13.15" customHeight="1" x14ac:dyDescent="0.2">
      <c r="A15" s="680" t="s">
        <v>255</v>
      </c>
      <c r="B15" s="680"/>
      <c r="C15" s="690">
        <f t="shared" ref="C15:F15" si="37">C13*C14</f>
        <v>0</v>
      </c>
      <c r="D15" s="690">
        <f t="shared" si="37"/>
        <v>0</v>
      </c>
      <c r="E15" s="690">
        <f t="shared" si="37"/>
        <v>0</v>
      </c>
      <c r="F15" s="690">
        <f t="shared" si="37"/>
        <v>0</v>
      </c>
      <c r="G15" s="902">
        <f>SUM(C15:F15)</f>
        <v>0</v>
      </c>
      <c r="H15" s="690">
        <f t="shared" ref="H15:N15" si="38">H13*H14</f>
        <v>0</v>
      </c>
      <c r="I15" s="690">
        <f t="shared" si="38"/>
        <v>0</v>
      </c>
      <c r="J15" s="690">
        <f t="shared" si="38"/>
        <v>0</v>
      </c>
      <c r="K15" s="690">
        <f t="shared" si="38"/>
        <v>0</v>
      </c>
      <c r="L15" s="690">
        <f t="shared" si="38"/>
        <v>0</v>
      </c>
      <c r="M15" s="690">
        <f t="shared" si="38"/>
        <v>0</v>
      </c>
      <c r="N15" s="690">
        <f t="shared" si="38"/>
        <v>0</v>
      </c>
      <c r="O15" s="690">
        <f t="shared" ref="O15:S15" si="39">O13*O14</f>
        <v>0</v>
      </c>
      <c r="P15" s="690">
        <f t="shared" si="39"/>
        <v>0</v>
      </c>
      <c r="Q15" s="690">
        <f t="shared" si="39"/>
        <v>0</v>
      </c>
      <c r="R15" s="690">
        <f t="shared" si="39"/>
        <v>0</v>
      </c>
      <c r="S15" s="690">
        <f t="shared" si="39"/>
        <v>0</v>
      </c>
      <c r="T15" s="918">
        <f>SUM(H15:S15)</f>
        <v>0</v>
      </c>
      <c r="U15" s="690">
        <f t="shared" ref="U15:AF15" si="40">U13*U14</f>
        <v>0</v>
      </c>
      <c r="V15" s="690">
        <f t="shared" si="40"/>
        <v>0</v>
      </c>
      <c r="W15" s="690">
        <f t="shared" si="40"/>
        <v>416.66666666666674</v>
      </c>
      <c r="X15" s="690">
        <f t="shared" si="40"/>
        <v>458.33333333333337</v>
      </c>
      <c r="Y15" s="690">
        <f t="shared" si="40"/>
        <v>479.16666666666674</v>
      </c>
      <c r="Z15" s="690">
        <f t="shared" si="40"/>
        <v>479.16666666666674</v>
      </c>
      <c r="AA15" s="690">
        <f t="shared" si="40"/>
        <v>479.16666666666674</v>
      </c>
      <c r="AB15" s="690">
        <f t="shared" si="40"/>
        <v>479.16666666666674</v>
      </c>
      <c r="AC15" s="690">
        <f t="shared" si="40"/>
        <v>479.16666666666674</v>
      </c>
      <c r="AD15" s="690">
        <f t="shared" si="40"/>
        <v>479.16666666666674</v>
      </c>
      <c r="AE15" s="690">
        <f t="shared" si="40"/>
        <v>479.16666666666674</v>
      </c>
      <c r="AF15" s="690">
        <f t="shared" si="40"/>
        <v>479.16666666666674</v>
      </c>
      <c r="AG15" s="918">
        <f>SUM(U15:AF15)</f>
        <v>4708.3333333333348</v>
      </c>
      <c r="AH15" s="902">
        <f t="shared" ref="AH15:AO15" si="41">AH13*AH14</f>
        <v>5750</v>
      </c>
      <c r="AI15" s="902">
        <f t="shared" si="41"/>
        <v>5750</v>
      </c>
      <c r="AJ15" s="902">
        <f t="shared" si="41"/>
        <v>5750</v>
      </c>
      <c r="AK15" s="902">
        <f t="shared" si="41"/>
        <v>5750</v>
      </c>
      <c r="AL15" s="902">
        <f t="shared" si="41"/>
        <v>5750</v>
      </c>
      <c r="AM15" s="902">
        <f t="shared" si="41"/>
        <v>5750</v>
      </c>
      <c r="AN15" s="902">
        <f t="shared" si="41"/>
        <v>5750</v>
      </c>
      <c r="AO15" s="996">
        <f t="shared" si="41"/>
        <v>5750</v>
      </c>
    </row>
    <row r="16" spans="1:42" s="18" customFormat="1" ht="13.15" customHeight="1" x14ac:dyDescent="0.2">
      <c r="A16" s="674"/>
      <c r="B16" s="674"/>
      <c r="C16" s="682"/>
      <c r="D16" s="682"/>
      <c r="E16" s="682"/>
      <c r="F16" s="682"/>
      <c r="G16" s="900"/>
      <c r="H16" s="682"/>
      <c r="I16" s="682"/>
      <c r="J16" s="682"/>
      <c r="K16" s="682"/>
      <c r="L16" s="682"/>
      <c r="M16" s="682"/>
      <c r="N16" s="682"/>
      <c r="O16" s="682"/>
      <c r="P16" s="682"/>
      <c r="Q16" s="682"/>
      <c r="R16" s="682"/>
      <c r="S16" s="682"/>
      <c r="T16" s="917"/>
      <c r="U16" s="682"/>
      <c r="V16" s="682"/>
      <c r="W16" s="682"/>
      <c r="X16" s="682"/>
      <c r="Y16" s="682"/>
      <c r="Z16" s="682"/>
      <c r="AA16" s="682"/>
      <c r="AB16" s="682"/>
      <c r="AC16" s="682"/>
      <c r="AD16" s="682"/>
      <c r="AE16" s="682"/>
      <c r="AF16" s="682"/>
      <c r="AG16" s="917"/>
      <c r="AH16" s="917"/>
      <c r="AI16" s="917"/>
      <c r="AJ16" s="917"/>
      <c r="AK16" s="924"/>
      <c r="AL16" s="924"/>
      <c r="AM16" s="924"/>
      <c r="AN16" s="924"/>
      <c r="AO16" s="995"/>
    </row>
    <row r="17" spans="1:42" s="18" customFormat="1" ht="13.15" customHeight="1" x14ac:dyDescent="0.2">
      <c r="A17" s="680" t="s">
        <v>256</v>
      </c>
      <c r="B17" s="680"/>
      <c r="C17" s="689">
        <v>0</v>
      </c>
      <c r="D17" s="689">
        <v>0</v>
      </c>
      <c r="E17" s="689">
        <v>0</v>
      </c>
      <c r="F17" s="689">
        <v>0</v>
      </c>
      <c r="G17" s="902">
        <f>F17</f>
        <v>0</v>
      </c>
      <c r="H17" s="689">
        <v>2</v>
      </c>
      <c r="I17" s="689">
        <v>2</v>
      </c>
      <c r="J17" s="689">
        <v>2</v>
      </c>
      <c r="K17" s="689">
        <v>2</v>
      </c>
      <c r="L17" s="689">
        <v>2</v>
      </c>
      <c r="M17" s="689">
        <v>2</v>
      </c>
      <c r="N17" s="689">
        <v>2</v>
      </c>
      <c r="O17" s="689">
        <v>2</v>
      </c>
      <c r="P17" s="689">
        <v>3</v>
      </c>
      <c r="Q17" s="689">
        <v>4</v>
      </c>
      <c r="R17" s="689">
        <v>4</v>
      </c>
      <c r="S17" s="689">
        <v>4</v>
      </c>
      <c r="T17" s="902">
        <f>S17</f>
        <v>4</v>
      </c>
      <c r="U17" s="689">
        <f>T17</f>
        <v>4</v>
      </c>
      <c r="V17" s="689">
        <f t="shared" ref="V17:AF17" si="42">U17</f>
        <v>4</v>
      </c>
      <c r="W17" s="689">
        <f t="shared" si="42"/>
        <v>4</v>
      </c>
      <c r="X17" s="689">
        <f t="shared" si="42"/>
        <v>4</v>
      </c>
      <c r="Y17" s="689">
        <f t="shared" si="42"/>
        <v>4</v>
      </c>
      <c r="Z17" s="689">
        <f t="shared" si="42"/>
        <v>4</v>
      </c>
      <c r="AA17" s="689">
        <f t="shared" si="42"/>
        <v>4</v>
      </c>
      <c r="AB17" s="689">
        <f t="shared" si="42"/>
        <v>4</v>
      </c>
      <c r="AC17" s="689">
        <f t="shared" si="42"/>
        <v>4</v>
      </c>
      <c r="AD17" s="689">
        <f t="shared" si="42"/>
        <v>4</v>
      </c>
      <c r="AE17" s="689">
        <f t="shared" si="42"/>
        <v>4</v>
      </c>
      <c r="AF17" s="689">
        <f t="shared" si="42"/>
        <v>4</v>
      </c>
      <c r="AG17" s="902">
        <f>AF17</f>
        <v>4</v>
      </c>
      <c r="AH17" s="899">
        <v>4</v>
      </c>
      <c r="AI17" s="899">
        <v>4</v>
      </c>
      <c r="AJ17" s="899">
        <v>4</v>
      </c>
      <c r="AK17" s="899">
        <v>4</v>
      </c>
      <c r="AL17" s="899">
        <v>4</v>
      </c>
      <c r="AM17" s="899">
        <v>4</v>
      </c>
      <c r="AN17" s="899">
        <v>4</v>
      </c>
      <c r="AO17" s="1000">
        <v>4</v>
      </c>
    </row>
    <row r="18" spans="1:42" s="18" customFormat="1" ht="13.15" customHeight="1" x14ac:dyDescent="0.2">
      <c r="A18" s="680" t="s">
        <v>252</v>
      </c>
      <c r="B18" s="680"/>
      <c r="C18" s="689">
        <v>0</v>
      </c>
      <c r="D18" s="689">
        <v>0</v>
      </c>
      <c r="E18" s="689">
        <v>0</v>
      </c>
      <c r="F18" s="689">
        <v>0</v>
      </c>
      <c r="G18" s="902">
        <f>SUM(C18:F18)</f>
        <v>0</v>
      </c>
      <c r="H18" s="689">
        <v>0</v>
      </c>
      <c r="I18" s="689">
        <v>0</v>
      </c>
      <c r="J18" s="689">
        <v>0</v>
      </c>
      <c r="K18" s="689">
        <v>0</v>
      </c>
      <c r="L18" s="689">
        <v>0</v>
      </c>
      <c r="M18" s="689">
        <v>0</v>
      </c>
      <c r="N18" s="689">
        <v>0</v>
      </c>
      <c r="O18" s="689">
        <v>0</v>
      </c>
      <c r="P18" s="689">
        <v>0</v>
      </c>
      <c r="Q18" s="689">
        <v>0</v>
      </c>
      <c r="R18" s="689">
        <v>0</v>
      </c>
      <c r="S18" s="689">
        <v>0</v>
      </c>
      <c r="T18" s="917">
        <f>SUM(H18:S18)</f>
        <v>0</v>
      </c>
      <c r="U18" s="689">
        <v>0</v>
      </c>
      <c r="V18" s="689">
        <v>0</v>
      </c>
      <c r="W18" s="689">
        <f t="shared" ref="W18:AF18" si="43">300/12</f>
        <v>25</v>
      </c>
      <c r="X18" s="689">
        <f t="shared" si="43"/>
        <v>25</v>
      </c>
      <c r="Y18" s="689">
        <f t="shared" si="43"/>
        <v>25</v>
      </c>
      <c r="Z18" s="689">
        <f t="shared" si="43"/>
        <v>25</v>
      </c>
      <c r="AA18" s="689">
        <f t="shared" si="43"/>
        <v>25</v>
      </c>
      <c r="AB18" s="689">
        <f t="shared" si="43"/>
        <v>25</v>
      </c>
      <c r="AC18" s="689">
        <f t="shared" si="43"/>
        <v>25</v>
      </c>
      <c r="AD18" s="689">
        <f t="shared" si="43"/>
        <v>25</v>
      </c>
      <c r="AE18" s="689">
        <f t="shared" si="43"/>
        <v>25</v>
      </c>
      <c r="AF18" s="689">
        <f t="shared" si="43"/>
        <v>25</v>
      </c>
      <c r="AG18" s="917">
        <f>SUM(U18:AF18)</f>
        <v>250</v>
      </c>
      <c r="AH18" s="899">
        <v>300</v>
      </c>
      <c r="AI18" s="899">
        <v>300</v>
      </c>
      <c r="AJ18" s="899">
        <v>300</v>
      </c>
      <c r="AK18" s="899">
        <v>300</v>
      </c>
      <c r="AL18" s="899">
        <v>300</v>
      </c>
      <c r="AM18" s="899">
        <v>300</v>
      </c>
      <c r="AN18" s="899">
        <v>300</v>
      </c>
      <c r="AO18" s="1000">
        <v>300</v>
      </c>
    </row>
    <row r="19" spans="1:42" s="18" customFormat="1" ht="13.15" customHeight="1" x14ac:dyDescent="0.2">
      <c r="A19" s="680" t="s">
        <v>254</v>
      </c>
      <c r="B19" s="680"/>
      <c r="C19" s="690">
        <f t="shared" ref="C19:F19" si="44">C17*C18</f>
        <v>0</v>
      </c>
      <c r="D19" s="690">
        <f t="shared" si="44"/>
        <v>0</v>
      </c>
      <c r="E19" s="690">
        <f t="shared" si="44"/>
        <v>0</v>
      </c>
      <c r="F19" s="690">
        <f t="shared" si="44"/>
        <v>0</v>
      </c>
      <c r="G19" s="902">
        <f>SUM(C19:F19)</f>
        <v>0</v>
      </c>
      <c r="H19" s="690">
        <f t="shared" ref="H19:N19" si="45">H17*H18</f>
        <v>0</v>
      </c>
      <c r="I19" s="690">
        <f t="shared" si="45"/>
        <v>0</v>
      </c>
      <c r="J19" s="690">
        <f t="shared" si="45"/>
        <v>0</v>
      </c>
      <c r="K19" s="690">
        <f t="shared" si="45"/>
        <v>0</v>
      </c>
      <c r="L19" s="690">
        <f t="shared" si="45"/>
        <v>0</v>
      </c>
      <c r="M19" s="690">
        <f t="shared" si="45"/>
        <v>0</v>
      </c>
      <c r="N19" s="690">
        <f t="shared" si="45"/>
        <v>0</v>
      </c>
      <c r="O19" s="690">
        <f t="shared" ref="O19:S19" si="46">O17*O18</f>
        <v>0</v>
      </c>
      <c r="P19" s="690">
        <f t="shared" si="46"/>
        <v>0</v>
      </c>
      <c r="Q19" s="690">
        <f t="shared" si="46"/>
        <v>0</v>
      </c>
      <c r="R19" s="690">
        <f t="shared" si="46"/>
        <v>0</v>
      </c>
      <c r="S19" s="690">
        <f t="shared" si="46"/>
        <v>0</v>
      </c>
      <c r="T19" s="917">
        <f>SUM(H19:S19)</f>
        <v>0</v>
      </c>
      <c r="U19" s="690">
        <f t="shared" ref="U19:AF19" si="47">U17*U18</f>
        <v>0</v>
      </c>
      <c r="V19" s="690">
        <f t="shared" si="47"/>
        <v>0</v>
      </c>
      <c r="W19" s="690">
        <f t="shared" si="47"/>
        <v>100</v>
      </c>
      <c r="X19" s="690">
        <f t="shared" si="47"/>
        <v>100</v>
      </c>
      <c r="Y19" s="690">
        <f t="shared" si="47"/>
        <v>100</v>
      </c>
      <c r="Z19" s="690">
        <f t="shared" si="47"/>
        <v>100</v>
      </c>
      <c r="AA19" s="690">
        <f t="shared" si="47"/>
        <v>100</v>
      </c>
      <c r="AB19" s="690">
        <f t="shared" si="47"/>
        <v>100</v>
      </c>
      <c r="AC19" s="690">
        <f t="shared" si="47"/>
        <v>100</v>
      </c>
      <c r="AD19" s="690">
        <f t="shared" si="47"/>
        <v>100</v>
      </c>
      <c r="AE19" s="690">
        <f t="shared" si="47"/>
        <v>100</v>
      </c>
      <c r="AF19" s="690">
        <f t="shared" si="47"/>
        <v>100</v>
      </c>
      <c r="AG19" s="917">
        <f>SUM(U19:AF19)</f>
        <v>1000</v>
      </c>
      <c r="AH19" s="902">
        <f t="shared" ref="AH19:AO19" si="48">AH17*AH18</f>
        <v>1200</v>
      </c>
      <c r="AI19" s="902">
        <f t="shared" si="48"/>
        <v>1200</v>
      </c>
      <c r="AJ19" s="902">
        <f t="shared" si="48"/>
        <v>1200</v>
      </c>
      <c r="AK19" s="902">
        <f t="shared" si="48"/>
        <v>1200</v>
      </c>
      <c r="AL19" s="902">
        <f t="shared" si="48"/>
        <v>1200</v>
      </c>
      <c r="AM19" s="902">
        <f t="shared" si="48"/>
        <v>1200</v>
      </c>
      <c r="AN19" s="902">
        <f t="shared" si="48"/>
        <v>1200</v>
      </c>
      <c r="AO19" s="996">
        <f t="shared" si="48"/>
        <v>1200</v>
      </c>
    </row>
    <row r="20" spans="1:42" s="18" customFormat="1" ht="13.15" customHeight="1" x14ac:dyDescent="0.2">
      <c r="A20" s="680" t="s">
        <v>249</v>
      </c>
      <c r="B20" s="680"/>
      <c r="C20" s="686">
        <f t="shared" ref="C20:F20" si="49">C8</f>
        <v>2.5</v>
      </c>
      <c r="D20" s="686">
        <f t="shared" si="49"/>
        <v>2.5</v>
      </c>
      <c r="E20" s="686">
        <f t="shared" si="49"/>
        <v>2.5</v>
      </c>
      <c r="F20" s="686">
        <f t="shared" si="49"/>
        <v>2.5</v>
      </c>
      <c r="G20" s="903">
        <f>G8</f>
        <v>2.5</v>
      </c>
      <c r="H20" s="686">
        <f t="shared" ref="H20:N20" si="50">H8</f>
        <v>2.5</v>
      </c>
      <c r="I20" s="686">
        <f t="shared" si="50"/>
        <v>2.5</v>
      </c>
      <c r="J20" s="686">
        <f t="shared" si="50"/>
        <v>2.5</v>
      </c>
      <c r="K20" s="686">
        <f t="shared" si="50"/>
        <v>2.5</v>
      </c>
      <c r="L20" s="686">
        <f t="shared" si="50"/>
        <v>2.5</v>
      </c>
      <c r="M20" s="686">
        <f t="shared" si="50"/>
        <v>2.5</v>
      </c>
      <c r="N20" s="686">
        <f t="shared" si="50"/>
        <v>2.5</v>
      </c>
      <c r="O20" s="686">
        <f t="shared" ref="O20:AO20" si="51">O8</f>
        <v>2.5</v>
      </c>
      <c r="P20" s="686">
        <f t="shared" si="51"/>
        <v>2.5</v>
      </c>
      <c r="Q20" s="686">
        <f t="shared" si="51"/>
        <v>2.5</v>
      </c>
      <c r="R20" s="686">
        <f t="shared" si="51"/>
        <v>2.5</v>
      </c>
      <c r="S20" s="686">
        <f t="shared" si="51"/>
        <v>2.5</v>
      </c>
      <c r="T20" s="919">
        <f t="shared" si="51"/>
        <v>2.5</v>
      </c>
      <c r="U20" s="686">
        <f t="shared" si="51"/>
        <v>2.5</v>
      </c>
      <c r="V20" s="686">
        <f t="shared" si="51"/>
        <v>2.5</v>
      </c>
      <c r="W20" s="686">
        <f t="shared" si="51"/>
        <v>2.5</v>
      </c>
      <c r="X20" s="686">
        <f t="shared" si="51"/>
        <v>2.5</v>
      </c>
      <c r="Y20" s="686">
        <f t="shared" si="51"/>
        <v>2.5</v>
      </c>
      <c r="Z20" s="686">
        <f t="shared" si="51"/>
        <v>2.5</v>
      </c>
      <c r="AA20" s="686">
        <f t="shared" si="51"/>
        <v>2.5</v>
      </c>
      <c r="AB20" s="686">
        <f t="shared" si="51"/>
        <v>2.5</v>
      </c>
      <c r="AC20" s="686">
        <f t="shared" si="51"/>
        <v>2.5</v>
      </c>
      <c r="AD20" s="686">
        <f t="shared" si="51"/>
        <v>2.5</v>
      </c>
      <c r="AE20" s="686">
        <f t="shared" si="51"/>
        <v>2.5</v>
      </c>
      <c r="AF20" s="686">
        <f t="shared" si="51"/>
        <v>2.5</v>
      </c>
      <c r="AG20" s="919">
        <f t="shared" si="51"/>
        <v>2.5</v>
      </c>
      <c r="AH20" s="919">
        <f t="shared" si="51"/>
        <v>2.5</v>
      </c>
      <c r="AI20" s="919">
        <f t="shared" si="51"/>
        <v>2.5</v>
      </c>
      <c r="AJ20" s="919">
        <f t="shared" si="51"/>
        <v>2.5</v>
      </c>
      <c r="AK20" s="919">
        <f t="shared" si="51"/>
        <v>2.5</v>
      </c>
      <c r="AL20" s="919">
        <f t="shared" si="51"/>
        <v>2.5</v>
      </c>
      <c r="AM20" s="919">
        <f t="shared" si="51"/>
        <v>2.5</v>
      </c>
      <c r="AN20" s="919">
        <f t="shared" si="51"/>
        <v>2.5</v>
      </c>
      <c r="AO20" s="998">
        <f t="shared" si="51"/>
        <v>2.5</v>
      </c>
    </row>
    <row r="21" spans="1:42" s="18" customFormat="1" ht="13.15" customHeight="1" x14ac:dyDescent="0.2">
      <c r="A21" s="680" t="s">
        <v>255</v>
      </c>
      <c r="B21" s="680"/>
      <c r="C21" s="690">
        <f t="shared" ref="C21:F21" si="52">C19*C20</f>
        <v>0</v>
      </c>
      <c r="D21" s="690">
        <f t="shared" si="52"/>
        <v>0</v>
      </c>
      <c r="E21" s="690">
        <f t="shared" si="52"/>
        <v>0</v>
      </c>
      <c r="F21" s="690">
        <f t="shared" si="52"/>
        <v>0</v>
      </c>
      <c r="G21" s="902">
        <f>SUM(C21:F21)</f>
        <v>0</v>
      </c>
      <c r="H21" s="690">
        <f t="shared" ref="H21:N21" si="53">H19*H20</f>
        <v>0</v>
      </c>
      <c r="I21" s="690">
        <f t="shared" si="53"/>
        <v>0</v>
      </c>
      <c r="J21" s="690">
        <f t="shared" si="53"/>
        <v>0</v>
      </c>
      <c r="K21" s="690">
        <f t="shared" si="53"/>
        <v>0</v>
      </c>
      <c r="L21" s="690">
        <f t="shared" si="53"/>
        <v>0</v>
      </c>
      <c r="M21" s="690">
        <f t="shared" si="53"/>
        <v>0</v>
      </c>
      <c r="N21" s="690">
        <f t="shared" si="53"/>
        <v>0</v>
      </c>
      <c r="O21" s="690">
        <f t="shared" ref="O21:S21" si="54">O19*O20</f>
        <v>0</v>
      </c>
      <c r="P21" s="690">
        <f t="shared" si="54"/>
        <v>0</v>
      </c>
      <c r="Q21" s="690">
        <f t="shared" si="54"/>
        <v>0</v>
      </c>
      <c r="R21" s="690">
        <f t="shared" si="54"/>
        <v>0</v>
      </c>
      <c r="S21" s="690">
        <f t="shared" si="54"/>
        <v>0</v>
      </c>
      <c r="T21" s="918">
        <f>SUM(H21:S21)</f>
        <v>0</v>
      </c>
      <c r="U21" s="690">
        <f t="shared" ref="U21:AF21" si="55">U19*U20</f>
        <v>0</v>
      </c>
      <c r="V21" s="690">
        <f t="shared" si="55"/>
        <v>0</v>
      </c>
      <c r="W21" s="690">
        <f t="shared" si="55"/>
        <v>250</v>
      </c>
      <c r="X21" s="690">
        <f t="shared" si="55"/>
        <v>250</v>
      </c>
      <c r="Y21" s="690">
        <f t="shared" si="55"/>
        <v>250</v>
      </c>
      <c r="Z21" s="690">
        <f t="shared" si="55"/>
        <v>250</v>
      </c>
      <c r="AA21" s="690">
        <f t="shared" si="55"/>
        <v>250</v>
      </c>
      <c r="AB21" s="690">
        <f t="shared" si="55"/>
        <v>250</v>
      </c>
      <c r="AC21" s="690">
        <f t="shared" si="55"/>
        <v>250</v>
      </c>
      <c r="AD21" s="690">
        <f t="shared" si="55"/>
        <v>250</v>
      </c>
      <c r="AE21" s="690">
        <f t="shared" si="55"/>
        <v>250</v>
      </c>
      <c r="AF21" s="690">
        <f t="shared" si="55"/>
        <v>250</v>
      </c>
      <c r="AG21" s="918">
        <f>SUM(U21:AF21)</f>
        <v>2500</v>
      </c>
      <c r="AH21" s="902">
        <f t="shared" ref="AH21:AO21" si="56">AH19*AH20</f>
        <v>3000</v>
      </c>
      <c r="AI21" s="902">
        <f t="shared" si="56"/>
        <v>3000</v>
      </c>
      <c r="AJ21" s="902">
        <f t="shared" si="56"/>
        <v>3000</v>
      </c>
      <c r="AK21" s="902">
        <f t="shared" si="56"/>
        <v>3000</v>
      </c>
      <c r="AL21" s="902">
        <f t="shared" si="56"/>
        <v>3000</v>
      </c>
      <c r="AM21" s="902">
        <f t="shared" si="56"/>
        <v>3000</v>
      </c>
      <c r="AN21" s="902">
        <f t="shared" si="56"/>
        <v>3000</v>
      </c>
      <c r="AO21" s="996">
        <f t="shared" si="56"/>
        <v>3000</v>
      </c>
    </row>
    <row r="22" spans="1:42" s="18" customFormat="1" ht="13.15" customHeight="1" x14ac:dyDescent="0.2">
      <c r="A22" s="680"/>
      <c r="B22" s="680"/>
      <c r="C22" s="682"/>
      <c r="D22" s="682"/>
      <c r="E22" s="682"/>
      <c r="F22" s="682"/>
      <c r="G22" s="900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917"/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917"/>
      <c r="AH22" s="917"/>
      <c r="AI22" s="917"/>
      <c r="AJ22" s="917"/>
      <c r="AK22" s="924"/>
      <c r="AL22" s="924"/>
      <c r="AM22" s="924"/>
      <c r="AN22" s="924"/>
      <c r="AO22" s="995"/>
    </row>
    <row r="23" spans="1:42" s="277" customFormat="1" ht="13.15" customHeight="1" x14ac:dyDescent="0.2">
      <c r="A23" s="676" t="s">
        <v>257</v>
      </c>
      <c r="B23" s="676"/>
      <c r="C23" s="694">
        <f t="shared" ref="C23:F23" si="57">C9+C15+C21</f>
        <v>0</v>
      </c>
      <c r="D23" s="694">
        <f t="shared" si="57"/>
        <v>0</v>
      </c>
      <c r="E23" s="694">
        <f t="shared" si="57"/>
        <v>0</v>
      </c>
      <c r="F23" s="694">
        <f t="shared" si="57"/>
        <v>0</v>
      </c>
      <c r="G23" s="904">
        <f>SUM(C23:F23)</f>
        <v>0</v>
      </c>
      <c r="H23" s="694">
        <f t="shared" ref="H23:N23" si="58">H9+H15+H21</f>
        <v>0</v>
      </c>
      <c r="I23" s="694">
        <f t="shared" si="58"/>
        <v>0</v>
      </c>
      <c r="J23" s="694">
        <f t="shared" si="58"/>
        <v>0</v>
      </c>
      <c r="K23" s="694">
        <f t="shared" si="58"/>
        <v>0</v>
      </c>
      <c r="L23" s="694">
        <f t="shared" si="58"/>
        <v>0</v>
      </c>
      <c r="M23" s="694">
        <f t="shared" si="58"/>
        <v>0</v>
      </c>
      <c r="N23" s="694">
        <f t="shared" si="58"/>
        <v>0</v>
      </c>
      <c r="O23" s="694">
        <f t="shared" ref="O23:S23" si="59">O9+O15+O21</f>
        <v>0</v>
      </c>
      <c r="P23" s="694">
        <f t="shared" si="59"/>
        <v>0</v>
      </c>
      <c r="Q23" s="694">
        <f t="shared" si="59"/>
        <v>0</v>
      </c>
      <c r="R23" s="694">
        <f t="shared" si="59"/>
        <v>0</v>
      </c>
      <c r="S23" s="694">
        <f t="shared" si="59"/>
        <v>0</v>
      </c>
      <c r="T23" s="915">
        <f>SUM(H23:S23)</f>
        <v>0</v>
      </c>
      <c r="U23" s="694">
        <f t="shared" ref="U23:AF23" si="60">U9+U15+U21</f>
        <v>0</v>
      </c>
      <c r="V23" s="694">
        <f t="shared" si="60"/>
        <v>0</v>
      </c>
      <c r="W23" s="694">
        <f t="shared" si="60"/>
        <v>765.10416666666674</v>
      </c>
      <c r="X23" s="694">
        <f t="shared" si="60"/>
        <v>905.20833333333337</v>
      </c>
      <c r="Y23" s="694">
        <f t="shared" si="60"/>
        <v>1024.4791666666667</v>
      </c>
      <c r="Z23" s="694">
        <f t="shared" si="60"/>
        <v>1122.9166666666667</v>
      </c>
      <c r="AA23" s="694">
        <f t="shared" si="60"/>
        <v>1221.3541666666667</v>
      </c>
      <c r="AB23" s="694">
        <f t="shared" si="60"/>
        <v>1319.7916666666667</v>
      </c>
      <c r="AC23" s="694">
        <f t="shared" si="60"/>
        <v>1418.2291666666667</v>
      </c>
      <c r="AD23" s="694">
        <f t="shared" si="60"/>
        <v>1516.6666666666667</v>
      </c>
      <c r="AE23" s="694">
        <f t="shared" si="60"/>
        <v>1615.104166666667</v>
      </c>
      <c r="AF23" s="694">
        <f t="shared" si="60"/>
        <v>1713.541666666667</v>
      </c>
      <c r="AG23" s="904">
        <f>SUM(U23:AF23)</f>
        <v>12622.395833333336</v>
      </c>
      <c r="AH23" s="904">
        <f t="shared" ref="AH23:AO23" si="61">AH9+AH15+AH21</f>
        <v>30455.46875</v>
      </c>
      <c r="AI23" s="904">
        <f t="shared" si="61"/>
        <v>57122.187500000007</v>
      </c>
      <c r="AJ23" s="904">
        <f t="shared" si="61"/>
        <v>108396.70625</v>
      </c>
      <c r="AK23" s="904">
        <f t="shared" si="61"/>
        <v>157821.47254999998</v>
      </c>
      <c r="AL23" s="904">
        <f t="shared" si="61"/>
        <v>186687.13041649997</v>
      </c>
      <c r="AM23" s="904">
        <f t="shared" si="61"/>
        <v>214062.07355749994</v>
      </c>
      <c r="AN23" s="904">
        <f t="shared" si="61"/>
        <v>241437.01669849994</v>
      </c>
      <c r="AO23" s="1001">
        <f t="shared" si="61"/>
        <v>268811.9598394999</v>
      </c>
    </row>
    <row r="24" spans="1:42" s="18" customFormat="1" ht="13.15" customHeight="1" x14ac:dyDescent="0.2">
      <c r="A24" s="680"/>
      <c r="B24" s="680"/>
      <c r="C24" s="682"/>
      <c r="D24" s="682"/>
      <c r="E24" s="682"/>
      <c r="F24" s="682"/>
      <c r="G24" s="900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917"/>
      <c r="U24" s="682"/>
      <c r="V24" s="682"/>
      <c r="W24" s="682"/>
      <c r="X24" s="682"/>
      <c r="Y24" s="682"/>
      <c r="Z24" s="682"/>
      <c r="AA24" s="682"/>
      <c r="AB24" s="682"/>
      <c r="AC24" s="682"/>
      <c r="AD24" s="682"/>
      <c r="AE24" s="682"/>
      <c r="AF24" s="682"/>
      <c r="AG24" s="917"/>
      <c r="AH24" s="917"/>
      <c r="AI24" s="917"/>
      <c r="AJ24" s="917"/>
      <c r="AK24" s="924"/>
      <c r="AL24" s="924"/>
      <c r="AM24" s="924"/>
      <c r="AN24" s="924"/>
      <c r="AO24" s="995"/>
    </row>
    <row r="25" spans="1:42" s="18" customFormat="1" ht="13.15" customHeight="1" x14ac:dyDescent="0.2">
      <c r="A25" s="680" t="s">
        <v>258</v>
      </c>
      <c r="B25" s="680"/>
      <c r="C25" s="768">
        <v>300</v>
      </c>
      <c r="D25" s="767">
        <f>C25</f>
        <v>300</v>
      </c>
      <c r="E25" s="767">
        <f>D25</f>
        <v>300</v>
      </c>
      <c r="F25" s="767">
        <f>E25</f>
        <v>300</v>
      </c>
      <c r="G25" s="905">
        <f>F25</f>
        <v>300</v>
      </c>
      <c r="H25" s="767">
        <f t="shared" ref="H25" si="62">G25</f>
        <v>300</v>
      </c>
      <c r="I25" s="767">
        <f t="shared" ref="I25" si="63">H25</f>
        <v>300</v>
      </c>
      <c r="J25" s="767">
        <f t="shared" ref="J25" si="64">I25</f>
        <v>300</v>
      </c>
      <c r="K25" s="767">
        <f t="shared" ref="K25" si="65">J25</f>
        <v>300</v>
      </c>
      <c r="L25" s="767">
        <f t="shared" ref="L25" si="66">K25</f>
        <v>300</v>
      </c>
      <c r="M25" s="767">
        <f t="shared" ref="M25" si="67">L25</f>
        <v>300</v>
      </c>
      <c r="N25" s="767">
        <f t="shared" ref="N25" si="68">M25</f>
        <v>300</v>
      </c>
      <c r="O25" s="767">
        <f t="shared" ref="O25:U25" si="69">N25</f>
        <v>300</v>
      </c>
      <c r="P25" s="767">
        <f t="shared" si="69"/>
        <v>300</v>
      </c>
      <c r="Q25" s="767">
        <f t="shared" si="69"/>
        <v>300</v>
      </c>
      <c r="R25" s="767">
        <f t="shared" si="69"/>
        <v>300</v>
      </c>
      <c r="S25" s="767">
        <f t="shared" si="69"/>
        <v>300</v>
      </c>
      <c r="T25" s="905">
        <f t="shared" si="69"/>
        <v>300</v>
      </c>
      <c r="U25" s="767">
        <f t="shared" si="69"/>
        <v>300</v>
      </c>
      <c r="V25" s="767">
        <f t="shared" ref="V25:AF25" si="70">U25</f>
        <v>300</v>
      </c>
      <c r="W25" s="767">
        <f t="shared" si="70"/>
        <v>300</v>
      </c>
      <c r="X25" s="767">
        <f t="shared" si="70"/>
        <v>300</v>
      </c>
      <c r="Y25" s="767">
        <f t="shared" si="70"/>
        <v>300</v>
      </c>
      <c r="Z25" s="767">
        <f t="shared" si="70"/>
        <v>300</v>
      </c>
      <c r="AA25" s="767">
        <f t="shared" si="70"/>
        <v>300</v>
      </c>
      <c r="AB25" s="767">
        <f t="shared" si="70"/>
        <v>300</v>
      </c>
      <c r="AC25" s="767">
        <f t="shared" si="70"/>
        <v>300</v>
      </c>
      <c r="AD25" s="767">
        <f t="shared" si="70"/>
        <v>300</v>
      </c>
      <c r="AE25" s="767">
        <f t="shared" si="70"/>
        <v>300</v>
      </c>
      <c r="AF25" s="767">
        <f t="shared" si="70"/>
        <v>300</v>
      </c>
      <c r="AG25" s="905">
        <f>AF25</f>
        <v>300</v>
      </c>
      <c r="AH25" s="905">
        <f>AG25</f>
        <v>300</v>
      </c>
      <c r="AI25" s="905">
        <f t="shared" ref="AI25:AO25" si="71">AH25</f>
        <v>300</v>
      </c>
      <c r="AJ25" s="905">
        <f t="shared" si="71"/>
        <v>300</v>
      </c>
      <c r="AK25" s="905">
        <f t="shared" si="71"/>
        <v>300</v>
      </c>
      <c r="AL25" s="905">
        <f t="shared" si="71"/>
        <v>300</v>
      </c>
      <c r="AM25" s="905">
        <f t="shared" si="71"/>
        <v>300</v>
      </c>
      <c r="AN25" s="905">
        <f t="shared" si="71"/>
        <v>300</v>
      </c>
      <c r="AO25" s="1002">
        <f t="shared" si="71"/>
        <v>300</v>
      </c>
      <c r="AP25" s="988"/>
    </row>
    <row r="26" spans="1:42" s="18" customFormat="1" ht="13.15" customHeight="1" x14ac:dyDescent="0.2">
      <c r="A26" s="680"/>
      <c r="B26" s="680"/>
      <c r="C26" s="682"/>
      <c r="D26" s="682"/>
      <c r="E26" s="682"/>
      <c r="F26" s="682"/>
      <c r="G26" s="900"/>
      <c r="H26" s="682"/>
      <c r="I26" s="682"/>
      <c r="J26" s="682"/>
      <c r="K26" s="682"/>
      <c r="L26" s="682"/>
      <c r="M26" s="682"/>
      <c r="N26" s="682"/>
      <c r="O26" s="682"/>
      <c r="P26" s="682"/>
      <c r="Q26" s="682"/>
      <c r="R26" s="682"/>
      <c r="S26" s="682"/>
      <c r="T26" s="917"/>
      <c r="U26" s="682"/>
      <c r="V26" s="682"/>
      <c r="W26" s="682"/>
      <c r="X26" s="682"/>
      <c r="Y26" s="682"/>
      <c r="Z26" s="682"/>
      <c r="AA26" s="682"/>
      <c r="AB26" s="682"/>
      <c r="AC26" s="682"/>
      <c r="AD26" s="682"/>
      <c r="AE26" s="682"/>
      <c r="AF26" s="682"/>
      <c r="AG26" s="917"/>
      <c r="AH26" s="917"/>
      <c r="AI26" s="917"/>
      <c r="AJ26" s="917"/>
      <c r="AK26" s="924"/>
      <c r="AL26" s="924"/>
      <c r="AM26" s="924"/>
      <c r="AN26" s="924"/>
      <c r="AO26" s="995"/>
    </row>
    <row r="27" spans="1:42" s="794" customFormat="1" ht="13.15" customHeight="1" x14ac:dyDescent="0.2">
      <c r="A27" s="763" t="s">
        <v>321</v>
      </c>
      <c r="B27" s="763"/>
      <c r="C27" s="765">
        <f t="shared" ref="C27:F27" si="72">C23*C25</f>
        <v>0</v>
      </c>
      <c r="D27" s="765">
        <f t="shared" si="72"/>
        <v>0</v>
      </c>
      <c r="E27" s="765">
        <f t="shared" si="72"/>
        <v>0</v>
      </c>
      <c r="F27" s="765">
        <f t="shared" si="72"/>
        <v>0</v>
      </c>
      <c r="G27" s="906">
        <f>SUM(C27:F27)</f>
        <v>0</v>
      </c>
      <c r="H27" s="765">
        <f t="shared" ref="H27:N27" si="73">H23*H25</f>
        <v>0</v>
      </c>
      <c r="I27" s="765">
        <f t="shared" si="73"/>
        <v>0</v>
      </c>
      <c r="J27" s="765">
        <f t="shared" si="73"/>
        <v>0</v>
      </c>
      <c r="K27" s="765">
        <f t="shared" si="73"/>
        <v>0</v>
      </c>
      <c r="L27" s="765">
        <f t="shared" si="73"/>
        <v>0</v>
      </c>
      <c r="M27" s="765">
        <f t="shared" si="73"/>
        <v>0</v>
      </c>
      <c r="N27" s="765">
        <f t="shared" si="73"/>
        <v>0</v>
      </c>
      <c r="O27" s="765">
        <f t="shared" ref="O27:S27" si="74">O23*O25</f>
        <v>0</v>
      </c>
      <c r="P27" s="765">
        <f t="shared" si="74"/>
        <v>0</v>
      </c>
      <c r="Q27" s="765">
        <f t="shared" si="74"/>
        <v>0</v>
      </c>
      <c r="R27" s="765">
        <f t="shared" si="74"/>
        <v>0</v>
      </c>
      <c r="S27" s="765">
        <f t="shared" si="74"/>
        <v>0</v>
      </c>
      <c r="T27" s="906">
        <f>SUM(H27:S27)</f>
        <v>0</v>
      </c>
      <c r="U27" s="765">
        <f>U23*U25</f>
        <v>0</v>
      </c>
      <c r="V27" s="765">
        <f t="shared" ref="V27:AF27" si="75">V23*V25</f>
        <v>0</v>
      </c>
      <c r="W27" s="765">
        <f t="shared" si="75"/>
        <v>229531.25000000003</v>
      </c>
      <c r="X27" s="765">
        <f t="shared" si="75"/>
        <v>271562.5</v>
      </c>
      <c r="Y27" s="765">
        <f t="shared" si="75"/>
        <v>307343.75</v>
      </c>
      <c r="Z27" s="765">
        <f t="shared" si="75"/>
        <v>336875</v>
      </c>
      <c r="AA27" s="765">
        <f t="shared" si="75"/>
        <v>366406.25</v>
      </c>
      <c r="AB27" s="765">
        <f t="shared" si="75"/>
        <v>395937.5</v>
      </c>
      <c r="AC27" s="765">
        <f t="shared" si="75"/>
        <v>425468.75</v>
      </c>
      <c r="AD27" s="765">
        <f t="shared" si="75"/>
        <v>455000</v>
      </c>
      <c r="AE27" s="765">
        <f t="shared" si="75"/>
        <v>484531.25000000012</v>
      </c>
      <c r="AF27" s="765">
        <f t="shared" si="75"/>
        <v>514062.50000000012</v>
      </c>
      <c r="AG27" s="906">
        <f>SUM(U27:AF27)</f>
        <v>3786718.75</v>
      </c>
      <c r="AH27" s="906">
        <f t="shared" ref="AH27:AO27" si="76">AH23*AH25</f>
        <v>9136640.625</v>
      </c>
      <c r="AI27" s="906">
        <f t="shared" si="76"/>
        <v>17136656.250000004</v>
      </c>
      <c r="AJ27" s="906">
        <f t="shared" si="76"/>
        <v>32519011.875</v>
      </c>
      <c r="AK27" s="906">
        <f t="shared" si="76"/>
        <v>47346441.764999993</v>
      </c>
      <c r="AL27" s="906">
        <f t="shared" si="76"/>
        <v>56006139.124949992</v>
      </c>
      <c r="AM27" s="906">
        <f t="shared" si="76"/>
        <v>64218622.067249984</v>
      </c>
      <c r="AN27" s="906">
        <f t="shared" si="76"/>
        <v>72431105.009549975</v>
      </c>
      <c r="AO27" s="1003">
        <f t="shared" si="76"/>
        <v>80643587.951849967</v>
      </c>
      <c r="AP27" s="277"/>
    </row>
    <row r="28" spans="1:42" s="18" customFormat="1" ht="13.15" customHeight="1" x14ac:dyDescent="0.2">
      <c r="A28" s="680"/>
      <c r="B28" s="680"/>
      <c r="C28" s="680"/>
      <c r="D28" s="680"/>
      <c r="E28" s="680"/>
      <c r="F28" s="680"/>
      <c r="G28" s="900"/>
      <c r="H28" s="682"/>
      <c r="I28" s="682"/>
      <c r="J28" s="682"/>
      <c r="K28" s="682"/>
      <c r="L28" s="682"/>
      <c r="M28" s="682"/>
      <c r="N28" s="682"/>
      <c r="O28" s="682"/>
      <c r="P28" s="682"/>
      <c r="Q28" s="682"/>
      <c r="R28" s="682"/>
      <c r="S28" s="682"/>
      <c r="T28" s="917"/>
      <c r="U28" s="682"/>
      <c r="V28" s="682"/>
      <c r="W28" s="682"/>
      <c r="X28" s="682"/>
      <c r="Y28" s="682"/>
      <c r="Z28" s="682"/>
      <c r="AA28" s="682"/>
      <c r="AB28" s="682"/>
      <c r="AC28" s="682"/>
      <c r="AD28" s="682"/>
      <c r="AE28" s="682"/>
      <c r="AF28" s="682"/>
      <c r="AG28" s="917"/>
      <c r="AH28" s="917"/>
      <c r="AI28" s="917"/>
      <c r="AJ28" s="917"/>
      <c r="AK28" s="924"/>
      <c r="AL28" s="924"/>
      <c r="AM28" s="924"/>
      <c r="AN28" s="924"/>
      <c r="AO28" s="995"/>
    </row>
    <row r="29" spans="1:42" s="18" customFormat="1" ht="13.15" customHeight="1" x14ac:dyDescent="0.2">
      <c r="A29" s="680"/>
      <c r="B29" s="680"/>
      <c r="C29" s="680"/>
      <c r="D29" s="680"/>
      <c r="E29" s="680"/>
      <c r="F29" s="680"/>
      <c r="G29" s="900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917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917"/>
      <c r="AH29" s="917"/>
      <c r="AI29" s="917"/>
      <c r="AJ29" s="917"/>
      <c r="AK29" s="924"/>
      <c r="AL29" s="924"/>
      <c r="AM29" s="924"/>
      <c r="AN29" s="924"/>
      <c r="AO29" s="995"/>
    </row>
    <row r="30" spans="1:42" s="18" customFormat="1" ht="13.15" customHeight="1" x14ac:dyDescent="0.2">
      <c r="A30" s="676" t="s">
        <v>473</v>
      </c>
      <c r="B30" s="676"/>
      <c r="C30" s="676"/>
      <c r="D30" s="676"/>
      <c r="E30" s="676"/>
      <c r="F30" s="676"/>
      <c r="G30" s="89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915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915"/>
      <c r="AH30" s="915"/>
      <c r="AI30" s="915"/>
      <c r="AJ30" s="915"/>
      <c r="AK30" s="924"/>
      <c r="AL30" s="924"/>
      <c r="AM30" s="924"/>
      <c r="AN30" s="924"/>
      <c r="AO30" s="995"/>
    </row>
    <row r="31" spans="1:42" s="18" customFormat="1" ht="13.15" customHeight="1" x14ac:dyDescent="0.2">
      <c r="A31" s="674" t="s">
        <v>250</v>
      </c>
      <c r="B31" s="674"/>
      <c r="C31" s="690">
        <f>$G31/12</f>
        <v>12500</v>
      </c>
      <c r="D31" s="690">
        <f t="shared" ref="D31:F31" si="77">$G31/12</f>
        <v>12500</v>
      </c>
      <c r="E31" s="690">
        <f t="shared" si="77"/>
        <v>12500</v>
      </c>
      <c r="F31" s="690">
        <f t="shared" si="77"/>
        <v>12500</v>
      </c>
      <c r="G31" s="899">
        <v>150000</v>
      </c>
      <c r="H31" s="690">
        <f t="shared" ref="H31:M31" si="78">$T31/12</f>
        <v>12500</v>
      </c>
      <c r="I31" s="690">
        <f t="shared" si="78"/>
        <v>12500</v>
      </c>
      <c r="J31" s="690">
        <f t="shared" si="78"/>
        <v>12500</v>
      </c>
      <c r="K31" s="690">
        <f t="shared" si="78"/>
        <v>12500</v>
      </c>
      <c r="L31" s="690">
        <f t="shared" si="78"/>
        <v>12500</v>
      </c>
      <c r="M31" s="690">
        <f t="shared" si="78"/>
        <v>12500</v>
      </c>
      <c r="N31" s="690">
        <f t="shared" ref="N31:S31" si="79">$T31/12</f>
        <v>12500</v>
      </c>
      <c r="O31" s="690">
        <f t="shared" si="79"/>
        <v>12500</v>
      </c>
      <c r="P31" s="690">
        <f t="shared" si="79"/>
        <v>12500</v>
      </c>
      <c r="Q31" s="690">
        <f t="shared" si="79"/>
        <v>12500</v>
      </c>
      <c r="R31" s="690">
        <f t="shared" si="79"/>
        <v>12500</v>
      </c>
      <c r="S31" s="690">
        <f t="shared" si="79"/>
        <v>12500</v>
      </c>
      <c r="T31" s="899">
        <v>150000</v>
      </c>
      <c r="U31" s="690">
        <f>$AG31/12</f>
        <v>13125</v>
      </c>
      <c r="V31" s="690">
        <f t="shared" ref="V31:AF31" si="80">$AG31/12</f>
        <v>13125</v>
      </c>
      <c r="W31" s="690">
        <f t="shared" si="80"/>
        <v>13125</v>
      </c>
      <c r="X31" s="690">
        <f t="shared" si="80"/>
        <v>13125</v>
      </c>
      <c r="Y31" s="690">
        <f t="shared" si="80"/>
        <v>13125</v>
      </c>
      <c r="Z31" s="690">
        <f t="shared" si="80"/>
        <v>13125</v>
      </c>
      <c r="AA31" s="690">
        <f t="shared" si="80"/>
        <v>13125</v>
      </c>
      <c r="AB31" s="690">
        <f t="shared" si="80"/>
        <v>13125</v>
      </c>
      <c r="AC31" s="690">
        <f t="shared" si="80"/>
        <v>13125</v>
      </c>
      <c r="AD31" s="690">
        <f t="shared" si="80"/>
        <v>13125</v>
      </c>
      <c r="AE31" s="690">
        <f t="shared" si="80"/>
        <v>13125</v>
      </c>
      <c r="AF31" s="690">
        <f t="shared" si="80"/>
        <v>13125</v>
      </c>
      <c r="AG31" s="902">
        <f>T31*(1+AG32)</f>
        <v>157500</v>
      </c>
      <c r="AH31" s="902">
        <f t="shared" ref="AH31:AO31" si="81">AG31*(1+AH32)</f>
        <v>165375</v>
      </c>
      <c r="AI31" s="902">
        <f t="shared" si="81"/>
        <v>171990</v>
      </c>
      <c r="AJ31" s="902">
        <f t="shared" si="81"/>
        <v>177149.7</v>
      </c>
      <c r="AK31" s="902">
        <f t="shared" si="81"/>
        <v>180692.69400000002</v>
      </c>
      <c r="AL31" s="902">
        <f t="shared" si="81"/>
        <v>182499.62094000002</v>
      </c>
      <c r="AM31" s="902">
        <f t="shared" si="81"/>
        <v>182499.62094000002</v>
      </c>
      <c r="AN31" s="902">
        <f t="shared" si="81"/>
        <v>182499.62094000002</v>
      </c>
      <c r="AO31" s="996">
        <f t="shared" si="81"/>
        <v>182499.62094000002</v>
      </c>
    </row>
    <row r="32" spans="1:42" s="987" customFormat="1" ht="13.15" customHeight="1" x14ac:dyDescent="0.2">
      <c r="A32" s="680" t="s">
        <v>324</v>
      </c>
      <c r="B32" s="680"/>
      <c r="C32" s="687"/>
      <c r="D32" s="687"/>
      <c r="E32" s="687"/>
      <c r="F32" s="687"/>
      <c r="G32" s="900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916"/>
      <c r="U32" s="687"/>
      <c r="V32" s="687"/>
      <c r="W32" s="687"/>
      <c r="X32" s="687"/>
      <c r="Y32" s="687"/>
      <c r="Z32" s="687"/>
      <c r="AA32" s="687"/>
      <c r="AB32" s="687"/>
      <c r="AC32" s="687"/>
      <c r="AD32" s="687"/>
      <c r="AE32" s="687"/>
      <c r="AF32" s="687"/>
      <c r="AG32" s="921">
        <v>0.05</v>
      </c>
      <c r="AH32" s="921">
        <v>0.05</v>
      </c>
      <c r="AI32" s="921">
        <f>AH32-1%</f>
        <v>0.04</v>
      </c>
      <c r="AJ32" s="921">
        <f>AI32-1%</f>
        <v>0.03</v>
      </c>
      <c r="AK32" s="921">
        <f>AJ32-1%</f>
        <v>1.9999999999999997E-2</v>
      </c>
      <c r="AL32" s="921">
        <f>AK32-1%</f>
        <v>9.9999999999999967E-3</v>
      </c>
      <c r="AM32" s="921">
        <f>AL32-1%</f>
        <v>0</v>
      </c>
      <c r="AN32" s="925">
        <f>AM32</f>
        <v>0</v>
      </c>
      <c r="AO32" s="997">
        <f>AN32</f>
        <v>0</v>
      </c>
    </row>
    <row r="33" spans="1:63" s="987" customFormat="1" ht="13.15" customHeight="1" x14ac:dyDescent="0.2">
      <c r="A33" s="680" t="s">
        <v>248</v>
      </c>
      <c r="B33" s="680"/>
      <c r="C33" s="687">
        <f t="shared" ref="C33:F33" si="82">C6</f>
        <v>0</v>
      </c>
      <c r="D33" s="687">
        <f t="shared" si="82"/>
        <v>0</v>
      </c>
      <c r="E33" s="687">
        <f t="shared" si="82"/>
        <v>0</v>
      </c>
      <c r="F33" s="687">
        <f t="shared" si="82"/>
        <v>0</v>
      </c>
      <c r="G33" s="901">
        <f>T6</f>
        <v>0</v>
      </c>
      <c r="H33" s="687">
        <f t="shared" ref="H33:M33" si="83">H6</f>
        <v>0</v>
      </c>
      <c r="I33" s="687">
        <f t="shared" si="83"/>
        <v>0</v>
      </c>
      <c r="J33" s="687">
        <f t="shared" si="83"/>
        <v>0</v>
      </c>
      <c r="K33" s="687">
        <f t="shared" si="83"/>
        <v>0</v>
      </c>
      <c r="L33" s="687">
        <f t="shared" si="83"/>
        <v>0</v>
      </c>
      <c r="M33" s="687">
        <f t="shared" si="83"/>
        <v>0</v>
      </c>
      <c r="N33" s="687">
        <f t="shared" ref="N33:S33" si="84">N6</f>
        <v>0</v>
      </c>
      <c r="O33" s="687">
        <f t="shared" si="84"/>
        <v>0</v>
      </c>
      <c r="P33" s="687">
        <f t="shared" si="84"/>
        <v>0</v>
      </c>
      <c r="Q33" s="687">
        <f t="shared" si="84"/>
        <v>0</v>
      </c>
      <c r="R33" s="687">
        <f t="shared" si="84"/>
        <v>0</v>
      </c>
      <c r="S33" s="687">
        <f t="shared" si="84"/>
        <v>0</v>
      </c>
      <c r="T33" s="916">
        <f>S33</f>
        <v>0</v>
      </c>
      <c r="U33" s="687">
        <v>0</v>
      </c>
      <c r="V33" s="687">
        <v>0</v>
      </c>
      <c r="W33" s="687">
        <v>5.0000000000000001E-3</v>
      </c>
      <c r="X33" s="687">
        <f>W33+0.5%</f>
        <v>0.01</v>
      </c>
      <c r="Y33" s="687">
        <f t="shared" ref="Y33:AF33" si="85">X33+0.5%</f>
        <v>1.4999999999999999E-2</v>
      </c>
      <c r="Z33" s="687">
        <f t="shared" si="85"/>
        <v>0.02</v>
      </c>
      <c r="AA33" s="687">
        <f t="shared" si="85"/>
        <v>2.5000000000000001E-2</v>
      </c>
      <c r="AB33" s="687">
        <f t="shared" si="85"/>
        <v>3.0000000000000002E-2</v>
      </c>
      <c r="AC33" s="687">
        <f t="shared" si="85"/>
        <v>3.5000000000000003E-2</v>
      </c>
      <c r="AD33" s="687">
        <f t="shared" si="85"/>
        <v>0.04</v>
      </c>
      <c r="AE33" s="687">
        <f t="shared" si="85"/>
        <v>4.4999999999999998E-2</v>
      </c>
      <c r="AF33" s="687">
        <f t="shared" si="85"/>
        <v>4.9999999999999996E-2</v>
      </c>
      <c r="AG33" s="916">
        <f>AF33</f>
        <v>4.9999999999999996E-2</v>
      </c>
      <c r="AH33" s="921">
        <v>0.12</v>
      </c>
      <c r="AI33" s="921">
        <v>0.18</v>
      </c>
      <c r="AJ33" s="921">
        <v>0.24</v>
      </c>
      <c r="AK33" s="921">
        <v>0.3</v>
      </c>
      <c r="AL33" s="921">
        <v>0.35</v>
      </c>
      <c r="AM33" s="921">
        <v>0.4</v>
      </c>
      <c r="AN33" s="921">
        <v>0.45</v>
      </c>
      <c r="AO33" s="1004">
        <v>0.5</v>
      </c>
    </row>
    <row r="34" spans="1:63" s="18" customFormat="1" ht="13.15" customHeight="1" x14ac:dyDescent="0.2">
      <c r="A34" s="680" t="s">
        <v>251</v>
      </c>
      <c r="B34" s="680"/>
      <c r="C34" s="690">
        <f t="shared" ref="C34:F34" si="86">C31*C33</f>
        <v>0</v>
      </c>
      <c r="D34" s="690">
        <f t="shared" si="86"/>
        <v>0</v>
      </c>
      <c r="E34" s="690">
        <f t="shared" si="86"/>
        <v>0</v>
      </c>
      <c r="F34" s="690">
        <f t="shared" si="86"/>
        <v>0</v>
      </c>
      <c r="G34" s="902">
        <f>SUM(C34:F34)</f>
        <v>0</v>
      </c>
      <c r="H34" s="690">
        <f t="shared" ref="H34:M34" si="87">H31*H33</f>
        <v>0</v>
      </c>
      <c r="I34" s="690">
        <f t="shared" si="87"/>
        <v>0</v>
      </c>
      <c r="J34" s="690">
        <f t="shared" si="87"/>
        <v>0</v>
      </c>
      <c r="K34" s="690">
        <f t="shared" si="87"/>
        <v>0</v>
      </c>
      <c r="L34" s="690">
        <f t="shared" si="87"/>
        <v>0</v>
      </c>
      <c r="M34" s="690">
        <f t="shared" si="87"/>
        <v>0</v>
      </c>
      <c r="N34" s="690">
        <f t="shared" ref="N34:S34" si="88">N31*N33</f>
        <v>0</v>
      </c>
      <c r="O34" s="690">
        <f t="shared" si="88"/>
        <v>0</v>
      </c>
      <c r="P34" s="690">
        <f t="shared" si="88"/>
        <v>0</v>
      </c>
      <c r="Q34" s="690">
        <f t="shared" si="88"/>
        <v>0</v>
      </c>
      <c r="R34" s="690">
        <f t="shared" si="88"/>
        <v>0</v>
      </c>
      <c r="S34" s="690">
        <f t="shared" si="88"/>
        <v>0</v>
      </c>
      <c r="T34" s="917">
        <f>SUM(H34:S34)</f>
        <v>0</v>
      </c>
      <c r="U34" s="690">
        <f t="shared" ref="U34:AF34" si="89">U31*U33</f>
        <v>0</v>
      </c>
      <c r="V34" s="690">
        <f t="shared" si="89"/>
        <v>0</v>
      </c>
      <c r="W34" s="690">
        <f t="shared" si="89"/>
        <v>65.625</v>
      </c>
      <c r="X34" s="690">
        <f t="shared" si="89"/>
        <v>131.25</v>
      </c>
      <c r="Y34" s="690">
        <f t="shared" si="89"/>
        <v>196.875</v>
      </c>
      <c r="Z34" s="690">
        <f t="shared" si="89"/>
        <v>262.5</v>
      </c>
      <c r="AA34" s="690">
        <f t="shared" si="89"/>
        <v>328.125</v>
      </c>
      <c r="AB34" s="690">
        <f t="shared" si="89"/>
        <v>393.75000000000006</v>
      </c>
      <c r="AC34" s="690">
        <f t="shared" si="89"/>
        <v>459.37500000000006</v>
      </c>
      <c r="AD34" s="690">
        <f t="shared" si="89"/>
        <v>525</v>
      </c>
      <c r="AE34" s="690">
        <f t="shared" si="89"/>
        <v>590.625</v>
      </c>
      <c r="AF34" s="690">
        <f t="shared" si="89"/>
        <v>656.25</v>
      </c>
      <c r="AG34" s="902">
        <f>SUM(U34:AF34)</f>
        <v>3609.375</v>
      </c>
      <c r="AH34" s="902">
        <f>AH31*AVERAGE(AF33,AH33)</f>
        <v>14056.874999999998</v>
      </c>
      <c r="AI34" s="902">
        <f t="shared" ref="AI34:AO34" si="90">AI31*AVERAGE(AH33,AI33)</f>
        <v>25798.5</v>
      </c>
      <c r="AJ34" s="902">
        <f t="shared" si="90"/>
        <v>37201.436999999998</v>
      </c>
      <c r="AK34" s="902">
        <f t="shared" si="90"/>
        <v>48787.027380000007</v>
      </c>
      <c r="AL34" s="902">
        <f t="shared" si="90"/>
        <v>59312.376805499996</v>
      </c>
      <c r="AM34" s="902">
        <f t="shared" si="90"/>
        <v>68437.357852500005</v>
      </c>
      <c r="AN34" s="902">
        <f t="shared" si="90"/>
        <v>77562.338899500013</v>
      </c>
      <c r="AO34" s="996">
        <f t="shared" si="90"/>
        <v>86687.319946500007</v>
      </c>
    </row>
    <row r="35" spans="1:63" s="18" customFormat="1" ht="13.15" customHeight="1" x14ac:dyDescent="0.2">
      <c r="A35" s="680" t="s">
        <v>249</v>
      </c>
      <c r="B35" s="680"/>
      <c r="C35" s="686">
        <v>3.5</v>
      </c>
      <c r="D35" s="686">
        <f>C35</f>
        <v>3.5</v>
      </c>
      <c r="E35" s="686">
        <f t="shared" ref="E35:F35" si="91">D35</f>
        <v>3.5</v>
      </c>
      <c r="F35" s="686">
        <f t="shared" si="91"/>
        <v>3.5</v>
      </c>
      <c r="G35" s="903">
        <f>F35</f>
        <v>3.5</v>
      </c>
      <c r="H35" s="686">
        <f>F35</f>
        <v>3.5</v>
      </c>
      <c r="I35" s="686">
        <f>H35</f>
        <v>3.5</v>
      </c>
      <c r="J35" s="686">
        <f t="shared" ref="J35:S35" si="92">I35</f>
        <v>3.5</v>
      </c>
      <c r="K35" s="686">
        <f t="shared" si="92"/>
        <v>3.5</v>
      </c>
      <c r="L35" s="686">
        <f t="shared" si="92"/>
        <v>3.5</v>
      </c>
      <c r="M35" s="686">
        <f t="shared" si="92"/>
        <v>3.5</v>
      </c>
      <c r="N35" s="686">
        <f t="shared" si="92"/>
        <v>3.5</v>
      </c>
      <c r="O35" s="686">
        <f t="shared" si="92"/>
        <v>3.5</v>
      </c>
      <c r="P35" s="686">
        <f t="shared" si="92"/>
        <v>3.5</v>
      </c>
      <c r="Q35" s="686">
        <f t="shared" si="92"/>
        <v>3.5</v>
      </c>
      <c r="R35" s="686">
        <f t="shared" si="92"/>
        <v>3.5</v>
      </c>
      <c r="S35" s="686">
        <f t="shared" si="92"/>
        <v>3.5</v>
      </c>
      <c r="T35" s="903">
        <f t="shared" ref="T35" si="93">S35</f>
        <v>3.5</v>
      </c>
      <c r="U35" s="686">
        <f>S35</f>
        <v>3.5</v>
      </c>
      <c r="V35" s="686">
        <f t="shared" ref="V35:AG35" si="94">U35</f>
        <v>3.5</v>
      </c>
      <c r="W35" s="686">
        <f t="shared" si="94"/>
        <v>3.5</v>
      </c>
      <c r="X35" s="686">
        <f t="shared" si="94"/>
        <v>3.5</v>
      </c>
      <c r="Y35" s="686">
        <f t="shared" si="94"/>
        <v>3.5</v>
      </c>
      <c r="Z35" s="686">
        <f t="shared" si="94"/>
        <v>3.5</v>
      </c>
      <c r="AA35" s="686">
        <f t="shared" si="94"/>
        <v>3.5</v>
      </c>
      <c r="AB35" s="686">
        <f t="shared" si="94"/>
        <v>3.5</v>
      </c>
      <c r="AC35" s="686">
        <f t="shared" si="94"/>
        <v>3.5</v>
      </c>
      <c r="AD35" s="686">
        <f t="shared" si="94"/>
        <v>3.5</v>
      </c>
      <c r="AE35" s="686">
        <f t="shared" si="94"/>
        <v>3.5</v>
      </c>
      <c r="AF35" s="686">
        <f t="shared" si="94"/>
        <v>3.5</v>
      </c>
      <c r="AG35" s="919">
        <f t="shared" si="94"/>
        <v>3.5</v>
      </c>
      <c r="AH35" s="919">
        <f>AF35</f>
        <v>3.5</v>
      </c>
      <c r="AI35" s="919">
        <f t="shared" ref="AI35:AO35" si="95">AH35</f>
        <v>3.5</v>
      </c>
      <c r="AJ35" s="919">
        <f t="shared" si="95"/>
        <v>3.5</v>
      </c>
      <c r="AK35" s="919">
        <f t="shared" si="95"/>
        <v>3.5</v>
      </c>
      <c r="AL35" s="919">
        <f t="shared" si="95"/>
        <v>3.5</v>
      </c>
      <c r="AM35" s="919">
        <f t="shared" si="95"/>
        <v>3.5</v>
      </c>
      <c r="AN35" s="919">
        <f t="shared" si="95"/>
        <v>3.5</v>
      </c>
      <c r="AO35" s="998">
        <f t="shared" si="95"/>
        <v>3.5</v>
      </c>
      <c r="AP35" s="989"/>
      <c r="AQ35" s="990"/>
      <c r="AR35" s="990"/>
      <c r="AS35" s="990"/>
      <c r="AT35" s="990"/>
      <c r="AU35" s="990"/>
      <c r="AV35" s="990"/>
      <c r="AW35" s="990"/>
      <c r="AX35" s="990"/>
      <c r="AY35" s="990"/>
      <c r="AZ35" s="990"/>
      <c r="BA35" s="990"/>
      <c r="BB35" s="990"/>
      <c r="BC35" s="990"/>
      <c r="BD35" s="990"/>
      <c r="BE35" s="990"/>
      <c r="BF35" s="990"/>
      <c r="BG35" s="990"/>
      <c r="BH35" s="990"/>
      <c r="BI35" s="990"/>
      <c r="BJ35" s="990"/>
      <c r="BK35" s="990"/>
    </row>
    <row r="36" spans="1:63" s="18" customFormat="1" ht="13.15" customHeight="1" x14ac:dyDescent="0.2">
      <c r="A36" s="680" t="s">
        <v>255</v>
      </c>
      <c r="B36" s="680"/>
      <c r="C36" s="690">
        <f t="shared" ref="C36:F36" si="96">C34*C35</f>
        <v>0</v>
      </c>
      <c r="D36" s="690">
        <f t="shared" si="96"/>
        <v>0</v>
      </c>
      <c r="E36" s="690">
        <f t="shared" si="96"/>
        <v>0</v>
      </c>
      <c r="F36" s="690">
        <f t="shared" si="96"/>
        <v>0</v>
      </c>
      <c r="G36" s="902">
        <f>SUM(C36:F36)</f>
        <v>0</v>
      </c>
      <c r="H36" s="690">
        <f t="shared" ref="H36:M36" si="97">H34*H35</f>
        <v>0</v>
      </c>
      <c r="I36" s="690">
        <f t="shared" si="97"/>
        <v>0</v>
      </c>
      <c r="J36" s="690">
        <f t="shared" si="97"/>
        <v>0</v>
      </c>
      <c r="K36" s="690">
        <f t="shared" si="97"/>
        <v>0</v>
      </c>
      <c r="L36" s="690">
        <f t="shared" si="97"/>
        <v>0</v>
      </c>
      <c r="M36" s="690">
        <f t="shared" si="97"/>
        <v>0</v>
      </c>
      <c r="N36" s="690">
        <f t="shared" ref="N36:S36" si="98">N34*N35</f>
        <v>0</v>
      </c>
      <c r="O36" s="690">
        <f t="shared" si="98"/>
        <v>0</v>
      </c>
      <c r="P36" s="690">
        <f t="shared" si="98"/>
        <v>0</v>
      </c>
      <c r="Q36" s="690">
        <f t="shared" si="98"/>
        <v>0</v>
      </c>
      <c r="R36" s="690">
        <f t="shared" si="98"/>
        <v>0</v>
      </c>
      <c r="S36" s="690">
        <f t="shared" si="98"/>
        <v>0</v>
      </c>
      <c r="T36" s="918">
        <f>SUM(H36:S36)</f>
        <v>0</v>
      </c>
      <c r="U36" s="690">
        <f t="shared" ref="U36:AF36" si="99">U34*U35</f>
        <v>0</v>
      </c>
      <c r="V36" s="690">
        <f t="shared" si="99"/>
        <v>0</v>
      </c>
      <c r="W36" s="690">
        <f t="shared" si="99"/>
        <v>229.6875</v>
      </c>
      <c r="X36" s="690">
        <f t="shared" si="99"/>
        <v>459.375</v>
      </c>
      <c r="Y36" s="690">
        <f t="shared" si="99"/>
        <v>689.0625</v>
      </c>
      <c r="Z36" s="690">
        <f t="shared" si="99"/>
        <v>918.75</v>
      </c>
      <c r="AA36" s="690">
        <f t="shared" si="99"/>
        <v>1148.4375</v>
      </c>
      <c r="AB36" s="690">
        <f t="shared" si="99"/>
        <v>1378.1250000000002</v>
      </c>
      <c r="AC36" s="690">
        <f t="shared" si="99"/>
        <v>1607.8125000000002</v>
      </c>
      <c r="AD36" s="690">
        <f t="shared" si="99"/>
        <v>1837.5</v>
      </c>
      <c r="AE36" s="690">
        <f t="shared" si="99"/>
        <v>2067.1875</v>
      </c>
      <c r="AF36" s="690">
        <f t="shared" si="99"/>
        <v>2296.875</v>
      </c>
      <c r="AG36" s="918">
        <f>SUM(U36:AF36)</f>
        <v>12632.8125</v>
      </c>
      <c r="AH36" s="902">
        <f t="shared" ref="AH36:AO36" si="100">AH34*AH35</f>
        <v>49199.062499999993</v>
      </c>
      <c r="AI36" s="902">
        <f t="shared" si="100"/>
        <v>90294.75</v>
      </c>
      <c r="AJ36" s="902">
        <f t="shared" si="100"/>
        <v>130205.02949999999</v>
      </c>
      <c r="AK36" s="902">
        <f t="shared" si="100"/>
        <v>170754.59583000003</v>
      </c>
      <c r="AL36" s="902">
        <f t="shared" si="100"/>
        <v>207593.31881924998</v>
      </c>
      <c r="AM36" s="902">
        <f t="shared" si="100"/>
        <v>239530.75248375002</v>
      </c>
      <c r="AN36" s="902">
        <f t="shared" si="100"/>
        <v>271468.18614825007</v>
      </c>
      <c r="AO36" s="996">
        <f t="shared" si="100"/>
        <v>303405.61981275002</v>
      </c>
    </row>
    <row r="37" spans="1:63" s="34" customFormat="1" ht="12.4" customHeight="1" x14ac:dyDescent="0.2">
      <c r="A37" s="1"/>
      <c r="B37" s="1"/>
      <c r="C37" s="1"/>
      <c r="D37" s="1"/>
      <c r="E37" s="1"/>
      <c r="F37" s="1"/>
      <c r="G37" s="26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6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68"/>
      <c r="AH37" s="268"/>
      <c r="AI37" s="268"/>
      <c r="AJ37" s="268"/>
      <c r="AK37" s="268"/>
      <c r="AL37" s="268"/>
      <c r="AM37" s="268"/>
      <c r="AN37" s="268"/>
      <c r="AO37" s="999"/>
      <c r="AP37" s="18"/>
    </row>
    <row r="38" spans="1:63" s="18" customFormat="1" ht="13.15" customHeight="1" x14ac:dyDescent="0.2">
      <c r="A38" s="680" t="s">
        <v>253</v>
      </c>
      <c r="B38" s="680"/>
      <c r="C38" s="690">
        <f t="shared" ref="C38:F38" si="101">C11</f>
        <v>0</v>
      </c>
      <c r="D38" s="690">
        <f t="shared" si="101"/>
        <v>0</v>
      </c>
      <c r="E38" s="690">
        <f t="shared" si="101"/>
        <v>0</v>
      </c>
      <c r="F38" s="690">
        <f t="shared" si="101"/>
        <v>0</v>
      </c>
      <c r="G38" s="902">
        <f>F38</f>
        <v>0</v>
      </c>
      <c r="H38" s="690">
        <f t="shared" ref="H38:M38" si="102">H11</f>
        <v>0</v>
      </c>
      <c r="I38" s="690">
        <f t="shared" si="102"/>
        <v>0</v>
      </c>
      <c r="J38" s="690">
        <f t="shared" si="102"/>
        <v>0</v>
      </c>
      <c r="K38" s="690">
        <f t="shared" si="102"/>
        <v>0</v>
      </c>
      <c r="L38" s="690">
        <f t="shared" si="102"/>
        <v>0</v>
      </c>
      <c r="M38" s="690">
        <f t="shared" si="102"/>
        <v>0</v>
      </c>
      <c r="N38" s="690">
        <f t="shared" ref="N38:AO38" si="103">N11</f>
        <v>4</v>
      </c>
      <c r="O38" s="690">
        <f t="shared" si="103"/>
        <v>6</v>
      </c>
      <c r="P38" s="690">
        <f t="shared" si="103"/>
        <v>8</v>
      </c>
      <c r="Q38" s="690">
        <f t="shared" si="103"/>
        <v>10</v>
      </c>
      <c r="R38" s="690">
        <f t="shared" si="103"/>
        <v>12</v>
      </c>
      <c r="S38" s="690">
        <f t="shared" si="103"/>
        <v>14</v>
      </c>
      <c r="T38" s="902">
        <f t="shared" si="103"/>
        <v>14</v>
      </c>
      <c r="U38" s="690">
        <f t="shared" si="103"/>
        <v>16</v>
      </c>
      <c r="V38" s="690">
        <f t="shared" si="103"/>
        <v>18</v>
      </c>
      <c r="W38" s="690">
        <f t="shared" si="103"/>
        <v>20</v>
      </c>
      <c r="X38" s="690">
        <f t="shared" si="103"/>
        <v>22</v>
      </c>
      <c r="Y38" s="690">
        <f t="shared" si="103"/>
        <v>23</v>
      </c>
      <c r="Z38" s="690">
        <f t="shared" si="103"/>
        <v>23</v>
      </c>
      <c r="AA38" s="690">
        <f t="shared" si="103"/>
        <v>23</v>
      </c>
      <c r="AB38" s="690">
        <f t="shared" si="103"/>
        <v>23</v>
      </c>
      <c r="AC38" s="690">
        <f t="shared" si="103"/>
        <v>23</v>
      </c>
      <c r="AD38" s="690">
        <f t="shared" si="103"/>
        <v>23</v>
      </c>
      <c r="AE38" s="690">
        <f t="shared" si="103"/>
        <v>23</v>
      </c>
      <c r="AF38" s="690">
        <f t="shared" si="103"/>
        <v>23</v>
      </c>
      <c r="AG38" s="902">
        <f t="shared" si="103"/>
        <v>23</v>
      </c>
      <c r="AH38" s="902">
        <f t="shared" si="103"/>
        <v>23</v>
      </c>
      <c r="AI38" s="902">
        <f t="shared" si="103"/>
        <v>23</v>
      </c>
      <c r="AJ38" s="902">
        <f t="shared" si="103"/>
        <v>23</v>
      </c>
      <c r="AK38" s="902">
        <f t="shared" si="103"/>
        <v>23</v>
      </c>
      <c r="AL38" s="902">
        <f t="shared" si="103"/>
        <v>23</v>
      </c>
      <c r="AM38" s="902">
        <f t="shared" si="103"/>
        <v>23</v>
      </c>
      <c r="AN38" s="902">
        <f t="shared" si="103"/>
        <v>23</v>
      </c>
      <c r="AO38" s="996">
        <f t="shared" si="103"/>
        <v>23</v>
      </c>
    </row>
    <row r="39" spans="1:63" s="18" customFormat="1" ht="13.15" customHeight="1" x14ac:dyDescent="0.2">
      <c r="A39" s="680" t="s">
        <v>252</v>
      </c>
      <c r="B39" s="680"/>
      <c r="C39" s="689">
        <v>0</v>
      </c>
      <c r="D39" s="689">
        <v>0</v>
      </c>
      <c r="E39" s="689">
        <v>0</v>
      </c>
      <c r="F39" s="689">
        <v>0</v>
      </c>
      <c r="G39" s="902">
        <f>SUM(C39:F39)</f>
        <v>0</v>
      </c>
      <c r="H39" s="689">
        <v>0</v>
      </c>
      <c r="I39" s="689">
        <v>0</v>
      </c>
      <c r="J39" s="689">
        <v>0</v>
      </c>
      <c r="K39" s="689">
        <v>0</v>
      </c>
      <c r="L39" s="689">
        <v>0</v>
      </c>
      <c r="M39" s="689">
        <v>0</v>
      </c>
      <c r="N39" s="689">
        <v>0</v>
      </c>
      <c r="O39" s="689">
        <v>0</v>
      </c>
      <c r="P39" s="689">
        <v>0</v>
      </c>
      <c r="Q39" s="689">
        <v>0</v>
      </c>
      <c r="R39" s="689">
        <v>0</v>
      </c>
      <c r="S39" s="689">
        <v>0</v>
      </c>
      <c r="T39" s="917">
        <f>SUM(H39:S39)</f>
        <v>0</v>
      </c>
      <c r="U39" s="689">
        <v>0</v>
      </c>
      <c r="V39" s="689">
        <v>0</v>
      </c>
      <c r="W39" s="689">
        <f t="shared" ref="W39:AF39" si="104">100/12</f>
        <v>8.3333333333333339</v>
      </c>
      <c r="X39" s="689">
        <f t="shared" si="104"/>
        <v>8.3333333333333339</v>
      </c>
      <c r="Y39" s="689">
        <f t="shared" si="104"/>
        <v>8.3333333333333339</v>
      </c>
      <c r="Z39" s="689">
        <f t="shared" si="104"/>
        <v>8.3333333333333339</v>
      </c>
      <c r="AA39" s="689">
        <f t="shared" si="104"/>
        <v>8.3333333333333339</v>
      </c>
      <c r="AB39" s="689">
        <f t="shared" si="104"/>
        <v>8.3333333333333339</v>
      </c>
      <c r="AC39" s="689">
        <f t="shared" si="104"/>
        <v>8.3333333333333339</v>
      </c>
      <c r="AD39" s="689">
        <f t="shared" si="104"/>
        <v>8.3333333333333339</v>
      </c>
      <c r="AE39" s="689">
        <f t="shared" si="104"/>
        <v>8.3333333333333339</v>
      </c>
      <c r="AF39" s="689">
        <f t="shared" si="104"/>
        <v>8.3333333333333339</v>
      </c>
      <c r="AG39" s="917">
        <f>SUM(U39:AF39)</f>
        <v>83.333333333333329</v>
      </c>
      <c r="AH39" s="899">
        <v>100</v>
      </c>
      <c r="AI39" s="899">
        <v>100</v>
      </c>
      <c r="AJ39" s="899">
        <v>100</v>
      </c>
      <c r="AK39" s="899">
        <v>100</v>
      </c>
      <c r="AL39" s="899">
        <v>100</v>
      </c>
      <c r="AM39" s="899">
        <v>100</v>
      </c>
      <c r="AN39" s="899">
        <v>100</v>
      </c>
      <c r="AO39" s="1000">
        <v>100</v>
      </c>
    </row>
    <row r="40" spans="1:63" s="18" customFormat="1" ht="13.15" customHeight="1" x14ac:dyDescent="0.2">
      <c r="A40" s="680" t="s">
        <v>254</v>
      </c>
      <c r="B40" s="680"/>
      <c r="C40" s="690">
        <f t="shared" ref="C40:F40" si="105">C38*C39</f>
        <v>0</v>
      </c>
      <c r="D40" s="690">
        <f t="shared" si="105"/>
        <v>0</v>
      </c>
      <c r="E40" s="690">
        <f t="shared" si="105"/>
        <v>0</v>
      </c>
      <c r="F40" s="690">
        <f t="shared" si="105"/>
        <v>0</v>
      </c>
      <c r="G40" s="902">
        <f>SUM(C40:F40)</f>
        <v>0</v>
      </c>
      <c r="H40" s="690">
        <f t="shared" ref="H40:M40" si="106">H38*H39</f>
        <v>0</v>
      </c>
      <c r="I40" s="690">
        <f t="shared" si="106"/>
        <v>0</v>
      </c>
      <c r="J40" s="690">
        <f t="shared" si="106"/>
        <v>0</v>
      </c>
      <c r="K40" s="690">
        <f t="shared" si="106"/>
        <v>0</v>
      </c>
      <c r="L40" s="690">
        <f t="shared" si="106"/>
        <v>0</v>
      </c>
      <c r="M40" s="690">
        <f t="shared" si="106"/>
        <v>0</v>
      </c>
      <c r="N40" s="690">
        <f t="shared" ref="N40:S40" si="107">N38*N39</f>
        <v>0</v>
      </c>
      <c r="O40" s="690">
        <f t="shared" si="107"/>
        <v>0</v>
      </c>
      <c r="P40" s="690">
        <f t="shared" si="107"/>
        <v>0</v>
      </c>
      <c r="Q40" s="690">
        <f t="shared" si="107"/>
        <v>0</v>
      </c>
      <c r="R40" s="690">
        <f t="shared" si="107"/>
        <v>0</v>
      </c>
      <c r="S40" s="690">
        <f t="shared" si="107"/>
        <v>0</v>
      </c>
      <c r="T40" s="917">
        <f>SUM(H40:S40)</f>
        <v>0</v>
      </c>
      <c r="U40" s="690">
        <f t="shared" ref="U40:AF40" si="108">U38*U39</f>
        <v>0</v>
      </c>
      <c r="V40" s="690">
        <f t="shared" si="108"/>
        <v>0</v>
      </c>
      <c r="W40" s="690">
        <f t="shared" si="108"/>
        <v>166.66666666666669</v>
      </c>
      <c r="X40" s="690">
        <f t="shared" si="108"/>
        <v>183.33333333333334</v>
      </c>
      <c r="Y40" s="690">
        <f t="shared" si="108"/>
        <v>191.66666666666669</v>
      </c>
      <c r="Z40" s="690">
        <f t="shared" si="108"/>
        <v>191.66666666666669</v>
      </c>
      <c r="AA40" s="690">
        <f t="shared" si="108"/>
        <v>191.66666666666669</v>
      </c>
      <c r="AB40" s="690">
        <f t="shared" si="108"/>
        <v>191.66666666666669</v>
      </c>
      <c r="AC40" s="690">
        <f t="shared" si="108"/>
        <v>191.66666666666669</v>
      </c>
      <c r="AD40" s="690">
        <f t="shared" si="108"/>
        <v>191.66666666666669</v>
      </c>
      <c r="AE40" s="690">
        <f t="shared" si="108"/>
        <v>191.66666666666669</v>
      </c>
      <c r="AF40" s="690">
        <f t="shared" si="108"/>
        <v>191.66666666666669</v>
      </c>
      <c r="AG40" s="902">
        <f>SUM(U40:AF40)</f>
        <v>1883.3333333333339</v>
      </c>
      <c r="AH40" s="902">
        <f t="shared" ref="AH40:AO40" si="109">AH38*AH39</f>
        <v>2300</v>
      </c>
      <c r="AI40" s="902">
        <f t="shared" si="109"/>
        <v>2300</v>
      </c>
      <c r="AJ40" s="902">
        <f t="shared" si="109"/>
        <v>2300</v>
      </c>
      <c r="AK40" s="902">
        <f t="shared" si="109"/>
        <v>2300</v>
      </c>
      <c r="AL40" s="902">
        <f t="shared" si="109"/>
        <v>2300</v>
      </c>
      <c r="AM40" s="902">
        <f t="shared" si="109"/>
        <v>2300</v>
      </c>
      <c r="AN40" s="902">
        <f t="shared" si="109"/>
        <v>2300</v>
      </c>
      <c r="AO40" s="996">
        <f t="shared" si="109"/>
        <v>2300</v>
      </c>
    </row>
    <row r="41" spans="1:63" s="18" customFormat="1" ht="13.15" customHeight="1" x14ac:dyDescent="0.2">
      <c r="A41" s="680" t="s">
        <v>249</v>
      </c>
      <c r="B41" s="680"/>
      <c r="C41" s="685">
        <f t="shared" ref="C41:F41" si="110">C35</f>
        <v>3.5</v>
      </c>
      <c r="D41" s="685">
        <f t="shared" si="110"/>
        <v>3.5</v>
      </c>
      <c r="E41" s="685">
        <f t="shared" si="110"/>
        <v>3.5</v>
      </c>
      <c r="F41" s="685">
        <f t="shared" si="110"/>
        <v>3.5</v>
      </c>
      <c r="G41" s="903">
        <f>F41</f>
        <v>3.5</v>
      </c>
      <c r="H41" s="685">
        <f t="shared" ref="H41:M41" si="111">H35</f>
        <v>3.5</v>
      </c>
      <c r="I41" s="685">
        <f t="shared" si="111"/>
        <v>3.5</v>
      </c>
      <c r="J41" s="685">
        <f t="shared" si="111"/>
        <v>3.5</v>
      </c>
      <c r="K41" s="685">
        <f t="shared" si="111"/>
        <v>3.5</v>
      </c>
      <c r="L41" s="685">
        <f t="shared" si="111"/>
        <v>3.5</v>
      </c>
      <c r="M41" s="685">
        <f t="shared" si="111"/>
        <v>3.5</v>
      </c>
      <c r="N41" s="685">
        <f t="shared" ref="N41:AO41" si="112">N35</f>
        <v>3.5</v>
      </c>
      <c r="O41" s="685">
        <f t="shared" si="112"/>
        <v>3.5</v>
      </c>
      <c r="P41" s="685">
        <f t="shared" si="112"/>
        <v>3.5</v>
      </c>
      <c r="Q41" s="685">
        <f t="shared" si="112"/>
        <v>3.5</v>
      </c>
      <c r="R41" s="685">
        <f t="shared" si="112"/>
        <v>3.5</v>
      </c>
      <c r="S41" s="685">
        <f t="shared" si="112"/>
        <v>3.5</v>
      </c>
      <c r="T41" s="903">
        <f t="shared" si="112"/>
        <v>3.5</v>
      </c>
      <c r="U41" s="685">
        <f t="shared" si="112"/>
        <v>3.5</v>
      </c>
      <c r="V41" s="685">
        <f t="shared" si="112"/>
        <v>3.5</v>
      </c>
      <c r="W41" s="685">
        <f t="shared" si="112"/>
        <v>3.5</v>
      </c>
      <c r="X41" s="685">
        <f t="shared" si="112"/>
        <v>3.5</v>
      </c>
      <c r="Y41" s="685">
        <f t="shared" si="112"/>
        <v>3.5</v>
      </c>
      <c r="Z41" s="685">
        <f t="shared" si="112"/>
        <v>3.5</v>
      </c>
      <c r="AA41" s="685">
        <f t="shared" si="112"/>
        <v>3.5</v>
      </c>
      <c r="AB41" s="685">
        <f t="shared" si="112"/>
        <v>3.5</v>
      </c>
      <c r="AC41" s="685">
        <f t="shared" si="112"/>
        <v>3.5</v>
      </c>
      <c r="AD41" s="685">
        <f t="shared" si="112"/>
        <v>3.5</v>
      </c>
      <c r="AE41" s="685">
        <f t="shared" si="112"/>
        <v>3.5</v>
      </c>
      <c r="AF41" s="685">
        <f t="shared" si="112"/>
        <v>3.5</v>
      </c>
      <c r="AG41" s="903">
        <f t="shared" si="112"/>
        <v>3.5</v>
      </c>
      <c r="AH41" s="903">
        <f t="shared" si="112"/>
        <v>3.5</v>
      </c>
      <c r="AI41" s="903">
        <f t="shared" si="112"/>
        <v>3.5</v>
      </c>
      <c r="AJ41" s="903">
        <f t="shared" si="112"/>
        <v>3.5</v>
      </c>
      <c r="AK41" s="903">
        <f t="shared" si="112"/>
        <v>3.5</v>
      </c>
      <c r="AL41" s="903">
        <f t="shared" si="112"/>
        <v>3.5</v>
      </c>
      <c r="AM41" s="903">
        <f t="shared" si="112"/>
        <v>3.5</v>
      </c>
      <c r="AN41" s="903">
        <f t="shared" si="112"/>
        <v>3.5</v>
      </c>
      <c r="AO41" s="1005">
        <f t="shared" si="112"/>
        <v>3.5</v>
      </c>
    </row>
    <row r="42" spans="1:63" s="18" customFormat="1" ht="13.15" customHeight="1" x14ac:dyDescent="0.2">
      <c r="A42" s="680" t="s">
        <v>255</v>
      </c>
      <c r="B42" s="680"/>
      <c r="C42" s="690">
        <f t="shared" ref="C42:F42" si="113">C40*C41</f>
        <v>0</v>
      </c>
      <c r="D42" s="690">
        <f t="shared" si="113"/>
        <v>0</v>
      </c>
      <c r="E42" s="690">
        <f t="shared" si="113"/>
        <v>0</v>
      </c>
      <c r="F42" s="690">
        <f t="shared" si="113"/>
        <v>0</v>
      </c>
      <c r="G42" s="902">
        <f>SUM(C42:F42)</f>
        <v>0</v>
      </c>
      <c r="H42" s="690">
        <f t="shared" ref="H42:M42" si="114">H40*H41</f>
        <v>0</v>
      </c>
      <c r="I42" s="690">
        <f t="shared" si="114"/>
        <v>0</v>
      </c>
      <c r="J42" s="690">
        <f t="shared" si="114"/>
        <v>0</v>
      </c>
      <c r="K42" s="690">
        <f t="shared" si="114"/>
        <v>0</v>
      </c>
      <c r="L42" s="690">
        <f t="shared" si="114"/>
        <v>0</v>
      </c>
      <c r="M42" s="690">
        <f t="shared" si="114"/>
        <v>0</v>
      </c>
      <c r="N42" s="690">
        <f t="shared" ref="N42:S42" si="115">N40*N41</f>
        <v>0</v>
      </c>
      <c r="O42" s="690">
        <f t="shared" si="115"/>
        <v>0</v>
      </c>
      <c r="P42" s="690">
        <f t="shared" si="115"/>
        <v>0</v>
      </c>
      <c r="Q42" s="690">
        <f t="shared" si="115"/>
        <v>0</v>
      </c>
      <c r="R42" s="690">
        <f t="shared" si="115"/>
        <v>0</v>
      </c>
      <c r="S42" s="690">
        <f t="shared" si="115"/>
        <v>0</v>
      </c>
      <c r="T42" s="918">
        <f>SUM(H42:S42)</f>
        <v>0</v>
      </c>
      <c r="U42" s="690">
        <f t="shared" ref="U42:AF42" si="116">U40*U41</f>
        <v>0</v>
      </c>
      <c r="V42" s="690">
        <f t="shared" si="116"/>
        <v>0</v>
      </c>
      <c r="W42" s="690">
        <f t="shared" si="116"/>
        <v>583.33333333333337</v>
      </c>
      <c r="X42" s="690">
        <f t="shared" si="116"/>
        <v>641.66666666666674</v>
      </c>
      <c r="Y42" s="690">
        <f t="shared" si="116"/>
        <v>670.83333333333337</v>
      </c>
      <c r="Z42" s="690">
        <f t="shared" si="116"/>
        <v>670.83333333333337</v>
      </c>
      <c r="AA42" s="690">
        <f t="shared" si="116"/>
        <v>670.83333333333337</v>
      </c>
      <c r="AB42" s="690">
        <f t="shared" si="116"/>
        <v>670.83333333333337</v>
      </c>
      <c r="AC42" s="690">
        <f t="shared" si="116"/>
        <v>670.83333333333337</v>
      </c>
      <c r="AD42" s="690">
        <f t="shared" si="116"/>
        <v>670.83333333333337</v>
      </c>
      <c r="AE42" s="690">
        <f t="shared" si="116"/>
        <v>670.83333333333337</v>
      </c>
      <c r="AF42" s="690">
        <f t="shared" si="116"/>
        <v>670.83333333333337</v>
      </c>
      <c r="AG42" s="918">
        <f>SUM(U42:AF42)</f>
        <v>6591.6666666666661</v>
      </c>
      <c r="AH42" s="902">
        <f t="shared" ref="AH42:AO42" si="117">AH40*AH41</f>
        <v>8050</v>
      </c>
      <c r="AI42" s="902">
        <f t="shared" si="117"/>
        <v>8050</v>
      </c>
      <c r="AJ42" s="902">
        <f t="shared" si="117"/>
        <v>8050</v>
      </c>
      <c r="AK42" s="902">
        <f t="shared" si="117"/>
        <v>8050</v>
      </c>
      <c r="AL42" s="902">
        <f t="shared" si="117"/>
        <v>8050</v>
      </c>
      <c r="AM42" s="902">
        <f t="shared" si="117"/>
        <v>8050</v>
      </c>
      <c r="AN42" s="902">
        <f t="shared" si="117"/>
        <v>8050</v>
      </c>
      <c r="AO42" s="996">
        <f t="shared" si="117"/>
        <v>8050</v>
      </c>
    </row>
    <row r="43" spans="1:63" s="18" customFormat="1" ht="13.15" customHeight="1" x14ac:dyDescent="0.2">
      <c r="A43" s="674"/>
      <c r="B43" s="674"/>
      <c r="C43" s="682"/>
      <c r="D43" s="682"/>
      <c r="E43" s="682"/>
      <c r="F43" s="682"/>
      <c r="G43" s="900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682"/>
      <c r="T43" s="917"/>
      <c r="U43" s="682"/>
      <c r="V43" s="682"/>
      <c r="W43" s="682"/>
      <c r="X43" s="682"/>
      <c r="Y43" s="682"/>
      <c r="Z43" s="682"/>
      <c r="AA43" s="682"/>
      <c r="AB43" s="682"/>
      <c r="AC43" s="682"/>
      <c r="AD43" s="682"/>
      <c r="AE43" s="682"/>
      <c r="AF43" s="682"/>
      <c r="AG43" s="917"/>
      <c r="AH43" s="917"/>
      <c r="AI43" s="917"/>
      <c r="AJ43" s="917"/>
      <c r="AK43" s="924"/>
      <c r="AL43" s="924"/>
      <c r="AM43" s="924"/>
      <c r="AN43" s="924"/>
      <c r="AO43" s="995"/>
    </row>
    <row r="44" spans="1:63" s="18" customFormat="1" ht="13.15" customHeight="1" x14ac:dyDescent="0.2">
      <c r="A44" s="680" t="s">
        <v>256</v>
      </c>
      <c r="B44" s="680"/>
      <c r="C44" s="690">
        <f t="shared" ref="C44:F44" si="118">C17</f>
        <v>0</v>
      </c>
      <c r="D44" s="690">
        <f t="shared" si="118"/>
        <v>0</v>
      </c>
      <c r="E44" s="690">
        <f t="shared" si="118"/>
        <v>0</v>
      </c>
      <c r="F44" s="690">
        <f t="shared" si="118"/>
        <v>0</v>
      </c>
      <c r="G44" s="902">
        <f>F44</f>
        <v>0</v>
      </c>
      <c r="H44" s="690">
        <f t="shared" ref="H44:M44" si="119">H17</f>
        <v>2</v>
      </c>
      <c r="I44" s="690">
        <f t="shared" si="119"/>
        <v>2</v>
      </c>
      <c r="J44" s="690">
        <f t="shared" si="119"/>
        <v>2</v>
      </c>
      <c r="K44" s="690">
        <f t="shared" si="119"/>
        <v>2</v>
      </c>
      <c r="L44" s="690">
        <f t="shared" si="119"/>
        <v>2</v>
      </c>
      <c r="M44" s="690">
        <f t="shared" si="119"/>
        <v>2</v>
      </c>
      <c r="N44" s="690">
        <f t="shared" ref="N44:AO44" si="120">N17</f>
        <v>2</v>
      </c>
      <c r="O44" s="690">
        <f t="shared" si="120"/>
        <v>2</v>
      </c>
      <c r="P44" s="690">
        <f t="shared" si="120"/>
        <v>3</v>
      </c>
      <c r="Q44" s="690">
        <f t="shared" si="120"/>
        <v>4</v>
      </c>
      <c r="R44" s="690">
        <f t="shared" si="120"/>
        <v>4</v>
      </c>
      <c r="S44" s="690">
        <f t="shared" si="120"/>
        <v>4</v>
      </c>
      <c r="T44" s="902">
        <f t="shared" si="120"/>
        <v>4</v>
      </c>
      <c r="U44" s="690">
        <f t="shared" si="120"/>
        <v>4</v>
      </c>
      <c r="V44" s="690">
        <f t="shared" si="120"/>
        <v>4</v>
      </c>
      <c r="W44" s="690">
        <f t="shared" si="120"/>
        <v>4</v>
      </c>
      <c r="X44" s="690">
        <f t="shared" si="120"/>
        <v>4</v>
      </c>
      <c r="Y44" s="690">
        <f t="shared" si="120"/>
        <v>4</v>
      </c>
      <c r="Z44" s="690">
        <f t="shared" si="120"/>
        <v>4</v>
      </c>
      <c r="AA44" s="690">
        <f t="shared" si="120"/>
        <v>4</v>
      </c>
      <c r="AB44" s="690">
        <f t="shared" si="120"/>
        <v>4</v>
      </c>
      <c r="AC44" s="690">
        <f t="shared" si="120"/>
        <v>4</v>
      </c>
      <c r="AD44" s="690">
        <f t="shared" si="120"/>
        <v>4</v>
      </c>
      <c r="AE44" s="690">
        <f t="shared" si="120"/>
        <v>4</v>
      </c>
      <c r="AF44" s="690">
        <f t="shared" si="120"/>
        <v>4</v>
      </c>
      <c r="AG44" s="902">
        <f t="shared" si="120"/>
        <v>4</v>
      </c>
      <c r="AH44" s="902">
        <f t="shared" si="120"/>
        <v>4</v>
      </c>
      <c r="AI44" s="902">
        <f t="shared" si="120"/>
        <v>4</v>
      </c>
      <c r="AJ44" s="902">
        <f t="shared" si="120"/>
        <v>4</v>
      </c>
      <c r="AK44" s="902">
        <f t="shared" si="120"/>
        <v>4</v>
      </c>
      <c r="AL44" s="902">
        <f t="shared" si="120"/>
        <v>4</v>
      </c>
      <c r="AM44" s="902">
        <f t="shared" si="120"/>
        <v>4</v>
      </c>
      <c r="AN44" s="902">
        <f t="shared" si="120"/>
        <v>4</v>
      </c>
      <c r="AO44" s="996">
        <f t="shared" si="120"/>
        <v>4</v>
      </c>
    </row>
    <row r="45" spans="1:63" s="18" customFormat="1" ht="13.15" customHeight="1" x14ac:dyDescent="0.2">
      <c r="A45" s="680" t="s">
        <v>252</v>
      </c>
      <c r="B45" s="680"/>
      <c r="C45" s="689">
        <v>0</v>
      </c>
      <c r="D45" s="689">
        <v>0</v>
      </c>
      <c r="E45" s="689">
        <v>0</v>
      </c>
      <c r="F45" s="689">
        <v>0</v>
      </c>
      <c r="G45" s="902">
        <f>SUM(C45:F45)</f>
        <v>0</v>
      </c>
      <c r="H45" s="689">
        <v>0</v>
      </c>
      <c r="I45" s="689">
        <v>0</v>
      </c>
      <c r="J45" s="689">
        <v>0</v>
      </c>
      <c r="K45" s="689">
        <v>0</v>
      </c>
      <c r="L45" s="689">
        <v>0</v>
      </c>
      <c r="M45" s="689">
        <v>0</v>
      </c>
      <c r="N45" s="689">
        <v>0</v>
      </c>
      <c r="O45" s="689">
        <v>0</v>
      </c>
      <c r="P45" s="689">
        <v>0</v>
      </c>
      <c r="Q45" s="689">
        <v>0</v>
      </c>
      <c r="R45" s="689">
        <v>0</v>
      </c>
      <c r="S45" s="689">
        <v>0</v>
      </c>
      <c r="T45" s="917">
        <f>SUM(H45:S45)</f>
        <v>0</v>
      </c>
      <c r="U45" s="689">
        <v>0</v>
      </c>
      <c r="V45" s="689">
        <v>0</v>
      </c>
      <c r="W45" s="689">
        <f t="shared" ref="W45:AF45" si="121">300/12</f>
        <v>25</v>
      </c>
      <c r="X45" s="689">
        <f t="shared" si="121"/>
        <v>25</v>
      </c>
      <c r="Y45" s="689">
        <f t="shared" si="121"/>
        <v>25</v>
      </c>
      <c r="Z45" s="689">
        <f t="shared" si="121"/>
        <v>25</v>
      </c>
      <c r="AA45" s="689">
        <f t="shared" si="121"/>
        <v>25</v>
      </c>
      <c r="AB45" s="689">
        <f t="shared" si="121"/>
        <v>25</v>
      </c>
      <c r="AC45" s="689">
        <f t="shared" si="121"/>
        <v>25</v>
      </c>
      <c r="AD45" s="689">
        <f t="shared" si="121"/>
        <v>25</v>
      </c>
      <c r="AE45" s="689">
        <f t="shared" si="121"/>
        <v>25</v>
      </c>
      <c r="AF45" s="689">
        <f t="shared" si="121"/>
        <v>25</v>
      </c>
      <c r="AG45" s="917">
        <f>SUM(U45:AF45)</f>
        <v>250</v>
      </c>
      <c r="AH45" s="899">
        <v>300</v>
      </c>
      <c r="AI45" s="899">
        <v>300</v>
      </c>
      <c r="AJ45" s="899">
        <v>300</v>
      </c>
      <c r="AK45" s="899">
        <v>300</v>
      </c>
      <c r="AL45" s="899">
        <v>300</v>
      </c>
      <c r="AM45" s="899">
        <v>300</v>
      </c>
      <c r="AN45" s="899">
        <v>300</v>
      </c>
      <c r="AO45" s="1000">
        <v>300</v>
      </c>
    </row>
    <row r="46" spans="1:63" s="18" customFormat="1" ht="13.15" customHeight="1" x14ac:dyDescent="0.2">
      <c r="A46" s="680" t="s">
        <v>254</v>
      </c>
      <c r="B46" s="680"/>
      <c r="C46" s="690">
        <f t="shared" ref="C46:F46" si="122">C44*C45</f>
        <v>0</v>
      </c>
      <c r="D46" s="690">
        <f t="shared" si="122"/>
        <v>0</v>
      </c>
      <c r="E46" s="690">
        <f t="shared" si="122"/>
        <v>0</v>
      </c>
      <c r="F46" s="690">
        <f t="shared" si="122"/>
        <v>0</v>
      </c>
      <c r="G46" s="902">
        <f>SUM(C46:F46)</f>
        <v>0</v>
      </c>
      <c r="H46" s="690">
        <f t="shared" ref="H46:M46" si="123">H44*H45</f>
        <v>0</v>
      </c>
      <c r="I46" s="690">
        <f t="shared" si="123"/>
        <v>0</v>
      </c>
      <c r="J46" s="690">
        <f t="shared" si="123"/>
        <v>0</v>
      </c>
      <c r="K46" s="690">
        <f t="shared" si="123"/>
        <v>0</v>
      </c>
      <c r="L46" s="690">
        <f t="shared" si="123"/>
        <v>0</v>
      </c>
      <c r="M46" s="690">
        <f t="shared" si="123"/>
        <v>0</v>
      </c>
      <c r="N46" s="690">
        <f t="shared" ref="N46:S46" si="124">N44*N45</f>
        <v>0</v>
      </c>
      <c r="O46" s="690">
        <f t="shared" si="124"/>
        <v>0</v>
      </c>
      <c r="P46" s="690">
        <f t="shared" si="124"/>
        <v>0</v>
      </c>
      <c r="Q46" s="690">
        <f t="shared" si="124"/>
        <v>0</v>
      </c>
      <c r="R46" s="690">
        <f t="shared" si="124"/>
        <v>0</v>
      </c>
      <c r="S46" s="690">
        <f t="shared" si="124"/>
        <v>0</v>
      </c>
      <c r="T46" s="917">
        <f>SUM(H46:S46)</f>
        <v>0</v>
      </c>
      <c r="U46" s="690">
        <f t="shared" ref="U46:AF46" si="125">U44*U45</f>
        <v>0</v>
      </c>
      <c r="V46" s="690">
        <f t="shared" si="125"/>
        <v>0</v>
      </c>
      <c r="W46" s="690">
        <f t="shared" si="125"/>
        <v>100</v>
      </c>
      <c r="X46" s="690">
        <f t="shared" si="125"/>
        <v>100</v>
      </c>
      <c r="Y46" s="690">
        <f t="shared" si="125"/>
        <v>100</v>
      </c>
      <c r="Z46" s="690">
        <f t="shared" si="125"/>
        <v>100</v>
      </c>
      <c r="AA46" s="690">
        <f t="shared" si="125"/>
        <v>100</v>
      </c>
      <c r="AB46" s="690">
        <f t="shared" si="125"/>
        <v>100</v>
      </c>
      <c r="AC46" s="690">
        <f t="shared" si="125"/>
        <v>100</v>
      </c>
      <c r="AD46" s="690">
        <f t="shared" si="125"/>
        <v>100</v>
      </c>
      <c r="AE46" s="690">
        <f t="shared" si="125"/>
        <v>100</v>
      </c>
      <c r="AF46" s="690">
        <f t="shared" si="125"/>
        <v>100</v>
      </c>
      <c r="AG46" s="917">
        <f>SUM(U46:AF46)</f>
        <v>1000</v>
      </c>
      <c r="AH46" s="902">
        <f t="shared" ref="AH46:AO46" si="126">AH44*AH45</f>
        <v>1200</v>
      </c>
      <c r="AI46" s="902">
        <f t="shared" si="126"/>
        <v>1200</v>
      </c>
      <c r="AJ46" s="902">
        <f t="shared" si="126"/>
        <v>1200</v>
      </c>
      <c r="AK46" s="902">
        <f t="shared" si="126"/>
        <v>1200</v>
      </c>
      <c r="AL46" s="902">
        <f t="shared" si="126"/>
        <v>1200</v>
      </c>
      <c r="AM46" s="902">
        <f t="shared" si="126"/>
        <v>1200</v>
      </c>
      <c r="AN46" s="902">
        <f t="shared" si="126"/>
        <v>1200</v>
      </c>
      <c r="AO46" s="996">
        <f t="shared" si="126"/>
        <v>1200</v>
      </c>
    </row>
    <row r="47" spans="1:63" s="18" customFormat="1" ht="13.15" customHeight="1" x14ac:dyDescent="0.2">
      <c r="A47" s="680" t="s">
        <v>249</v>
      </c>
      <c r="B47" s="680"/>
      <c r="C47" s="685">
        <f t="shared" ref="C47:F47" si="127">C35</f>
        <v>3.5</v>
      </c>
      <c r="D47" s="685">
        <f t="shared" si="127"/>
        <v>3.5</v>
      </c>
      <c r="E47" s="685">
        <f t="shared" si="127"/>
        <v>3.5</v>
      </c>
      <c r="F47" s="685">
        <f t="shared" si="127"/>
        <v>3.5</v>
      </c>
      <c r="G47" s="903">
        <f>F47</f>
        <v>3.5</v>
      </c>
      <c r="H47" s="685">
        <f t="shared" ref="H47:M47" si="128">H35</f>
        <v>3.5</v>
      </c>
      <c r="I47" s="685">
        <f t="shared" si="128"/>
        <v>3.5</v>
      </c>
      <c r="J47" s="685">
        <f t="shared" si="128"/>
        <v>3.5</v>
      </c>
      <c r="K47" s="685">
        <f t="shared" si="128"/>
        <v>3.5</v>
      </c>
      <c r="L47" s="685">
        <f t="shared" si="128"/>
        <v>3.5</v>
      </c>
      <c r="M47" s="685">
        <f t="shared" si="128"/>
        <v>3.5</v>
      </c>
      <c r="N47" s="685">
        <f t="shared" ref="N47:AO47" si="129">N35</f>
        <v>3.5</v>
      </c>
      <c r="O47" s="685">
        <f t="shared" si="129"/>
        <v>3.5</v>
      </c>
      <c r="P47" s="685">
        <f t="shared" si="129"/>
        <v>3.5</v>
      </c>
      <c r="Q47" s="685">
        <f t="shared" si="129"/>
        <v>3.5</v>
      </c>
      <c r="R47" s="685">
        <f t="shared" si="129"/>
        <v>3.5</v>
      </c>
      <c r="S47" s="685">
        <f t="shared" si="129"/>
        <v>3.5</v>
      </c>
      <c r="T47" s="903">
        <f t="shared" si="129"/>
        <v>3.5</v>
      </c>
      <c r="U47" s="685">
        <f t="shared" si="129"/>
        <v>3.5</v>
      </c>
      <c r="V47" s="685">
        <f t="shared" si="129"/>
        <v>3.5</v>
      </c>
      <c r="W47" s="685">
        <f t="shared" si="129"/>
        <v>3.5</v>
      </c>
      <c r="X47" s="685">
        <f t="shared" si="129"/>
        <v>3.5</v>
      </c>
      <c r="Y47" s="685">
        <f t="shared" si="129"/>
        <v>3.5</v>
      </c>
      <c r="Z47" s="685">
        <f t="shared" si="129"/>
        <v>3.5</v>
      </c>
      <c r="AA47" s="685">
        <f t="shared" si="129"/>
        <v>3.5</v>
      </c>
      <c r="AB47" s="685">
        <f t="shared" si="129"/>
        <v>3.5</v>
      </c>
      <c r="AC47" s="685">
        <f t="shared" si="129"/>
        <v>3.5</v>
      </c>
      <c r="AD47" s="685">
        <f t="shared" si="129"/>
        <v>3.5</v>
      </c>
      <c r="AE47" s="685">
        <f t="shared" si="129"/>
        <v>3.5</v>
      </c>
      <c r="AF47" s="685">
        <f t="shared" si="129"/>
        <v>3.5</v>
      </c>
      <c r="AG47" s="903">
        <f t="shared" si="129"/>
        <v>3.5</v>
      </c>
      <c r="AH47" s="903">
        <f t="shared" si="129"/>
        <v>3.5</v>
      </c>
      <c r="AI47" s="903">
        <f t="shared" si="129"/>
        <v>3.5</v>
      </c>
      <c r="AJ47" s="903">
        <f t="shared" si="129"/>
        <v>3.5</v>
      </c>
      <c r="AK47" s="903">
        <f t="shared" si="129"/>
        <v>3.5</v>
      </c>
      <c r="AL47" s="903">
        <f t="shared" si="129"/>
        <v>3.5</v>
      </c>
      <c r="AM47" s="903">
        <f t="shared" si="129"/>
        <v>3.5</v>
      </c>
      <c r="AN47" s="903">
        <f t="shared" si="129"/>
        <v>3.5</v>
      </c>
      <c r="AO47" s="1005">
        <f t="shared" si="129"/>
        <v>3.5</v>
      </c>
    </row>
    <row r="48" spans="1:63" s="18" customFormat="1" ht="13.15" customHeight="1" x14ac:dyDescent="0.2">
      <c r="A48" s="680" t="s">
        <v>255</v>
      </c>
      <c r="B48" s="680"/>
      <c r="C48" s="690">
        <f t="shared" ref="C48:F48" si="130">C46*C47</f>
        <v>0</v>
      </c>
      <c r="D48" s="690">
        <f t="shared" si="130"/>
        <v>0</v>
      </c>
      <c r="E48" s="690">
        <f t="shared" si="130"/>
        <v>0</v>
      </c>
      <c r="F48" s="690">
        <f t="shared" si="130"/>
        <v>0</v>
      </c>
      <c r="G48" s="902">
        <f>SUM(C48:F48)</f>
        <v>0</v>
      </c>
      <c r="H48" s="690">
        <f t="shared" ref="H48:M48" si="131">H46*H47</f>
        <v>0</v>
      </c>
      <c r="I48" s="690">
        <f t="shared" si="131"/>
        <v>0</v>
      </c>
      <c r="J48" s="690">
        <f t="shared" si="131"/>
        <v>0</v>
      </c>
      <c r="K48" s="690">
        <f t="shared" si="131"/>
        <v>0</v>
      </c>
      <c r="L48" s="690">
        <f t="shared" si="131"/>
        <v>0</v>
      </c>
      <c r="M48" s="690">
        <f t="shared" si="131"/>
        <v>0</v>
      </c>
      <c r="N48" s="690">
        <f t="shared" ref="N48:S48" si="132">N46*N47</f>
        <v>0</v>
      </c>
      <c r="O48" s="690">
        <f t="shared" si="132"/>
        <v>0</v>
      </c>
      <c r="P48" s="690">
        <f t="shared" si="132"/>
        <v>0</v>
      </c>
      <c r="Q48" s="690">
        <f t="shared" si="132"/>
        <v>0</v>
      </c>
      <c r="R48" s="690">
        <f t="shared" si="132"/>
        <v>0</v>
      </c>
      <c r="S48" s="690">
        <f t="shared" si="132"/>
        <v>0</v>
      </c>
      <c r="T48" s="918">
        <f>SUM(H48:S48)</f>
        <v>0</v>
      </c>
      <c r="U48" s="690">
        <f t="shared" ref="U48:AF48" si="133">U46*U47</f>
        <v>0</v>
      </c>
      <c r="V48" s="690">
        <f t="shared" si="133"/>
        <v>0</v>
      </c>
      <c r="W48" s="690">
        <f t="shared" si="133"/>
        <v>350</v>
      </c>
      <c r="X48" s="690">
        <f t="shared" si="133"/>
        <v>350</v>
      </c>
      <c r="Y48" s="690">
        <f t="shared" si="133"/>
        <v>350</v>
      </c>
      <c r="Z48" s="690">
        <f t="shared" si="133"/>
        <v>350</v>
      </c>
      <c r="AA48" s="690">
        <f t="shared" si="133"/>
        <v>350</v>
      </c>
      <c r="AB48" s="690">
        <f t="shared" si="133"/>
        <v>350</v>
      </c>
      <c r="AC48" s="690">
        <f t="shared" si="133"/>
        <v>350</v>
      </c>
      <c r="AD48" s="690">
        <f t="shared" si="133"/>
        <v>350</v>
      </c>
      <c r="AE48" s="690">
        <f t="shared" si="133"/>
        <v>350</v>
      </c>
      <c r="AF48" s="690">
        <f t="shared" si="133"/>
        <v>350</v>
      </c>
      <c r="AG48" s="918">
        <f>SUM(U48:AF48)</f>
        <v>3500</v>
      </c>
      <c r="AH48" s="902">
        <f t="shared" ref="AH48:AO48" si="134">AH46*AH47</f>
        <v>4200</v>
      </c>
      <c r="AI48" s="902">
        <f t="shared" si="134"/>
        <v>4200</v>
      </c>
      <c r="AJ48" s="902">
        <f t="shared" si="134"/>
        <v>4200</v>
      </c>
      <c r="AK48" s="902">
        <f t="shared" si="134"/>
        <v>4200</v>
      </c>
      <c r="AL48" s="902">
        <f t="shared" si="134"/>
        <v>4200</v>
      </c>
      <c r="AM48" s="902">
        <f t="shared" si="134"/>
        <v>4200</v>
      </c>
      <c r="AN48" s="902">
        <f t="shared" si="134"/>
        <v>4200</v>
      </c>
      <c r="AO48" s="996">
        <f t="shared" si="134"/>
        <v>4200</v>
      </c>
    </row>
    <row r="49" spans="1:42" s="18" customFormat="1" ht="13.15" customHeight="1" x14ac:dyDescent="0.2">
      <c r="A49" s="680"/>
      <c r="B49" s="680"/>
      <c r="C49" s="682"/>
      <c r="D49" s="682"/>
      <c r="E49" s="682"/>
      <c r="F49" s="682"/>
      <c r="G49" s="900"/>
      <c r="H49" s="682"/>
      <c r="I49" s="682"/>
      <c r="J49" s="682"/>
      <c r="K49" s="682"/>
      <c r="L49" s="682"/>
      <c r="M49" s="682"/>
      <c r="N49" s="682"/>
      <c r="O49" s="682"/>
      <c r="P49" s="682"/>
      <c r="Q49" s="682"/>
      <c r="R49" s="682"/>
      <c r="S49" s="682"/>
      <c r="T49" s="917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917"/>
      <c r="AH49" s="917"/>
      <c r="AI49" s="917"/>
      <c r="AJ49" s="917"/>
      <c r="AK49" s="924"/>
      <c r="AL49" s="924"/>
      <c r="AM49" s="924"/>
      <c r="AN49" s="924"/>
      <c r="AO49" s="995"/>
    </row>
    <row r="50" spans="1:42" s="277" customFormat="1" ht="13.15" customHeight="1" x14ac:dyDescent="0.2">
      <c r="A50" s="676" t="s">
        <v>257</v>
      </c>
      <c r="B50" s="676"/>
      <c r="C50" s="694">
        <f t="shared" ref="C50:F50" si="135">C36+C42+C48</f>
        <v>0</v>
      </c>
      <c r="D50" s="694">
        <f t="shared" si="135"/>
        <v>0</v>
      </c>
      <c r="E50" s="694">
        <f t="shared" si="135"/>
        <v>0</v>
      </c>
      <c r="F50" s="694">
        <f t="shared" si="135"/>
        <v>0</v>
      </c>
      <c r="G50" s="904">
        <f>SUM(C50:F50)</f>
        <v>0</v>
      </c>
      <c r="H50" s="694">
        <f t="shared" ref="H50:M50" si="136">H36+H42+H48</f>
        <v>0</v>
      </c>
      <c r="I50" s="694">
        <f t="shared" si="136"/>
        <v>0</v>
      </c>
      <c r="J50" s="694">
        <f t="shared" si="136"/>
        <v>0</v>
      </c>
      <c r="K50" s="694">
        <f t="shared" si="136"/>
        <v>0</v>
      </c>
      <c r="L50" s="694">
        <f t="shared" si="136"/>
        <v>0</v>
      </c>
      <c r="M50" s="694">
        <f t="shared" si="136"/>
        <v>0</v>
      </c>
      <c r="N50" s="694">
        <f t="shared" ref="N50:S50" si="137">N36+N42+N48</f>
        <v>0</v>
      </c>
      <c r="O50" s="694">
        <f t="shared" si="137"/>
        <v>0</v>
      </c>
      <c r="P50" s="694">
        <f t="shared" si="137"/>
        <v>0</v>
      </c>
      <c r="Q50" s="694">
        <f t="shared" si="137"/>
        <v>0</v>
      </c>
      <c r="R50" s="694">
        <f t="shared" si="137"/>
        <v>0</v>
      </c>
      <c r="S50" s="694">
        <f t="shared" si="137"/>
        <v>0</v>
      </c>
      <c r="T50" s="915">
        <f>SUM(H50:S50)</f>
        <v>0</v>
      </c>
      <c r="U50" s="694">
        <f t="shared" ref="U50:AF50" si="138">U36+U42+U48</f>
        <v>0</v>
      </c>
      <c r="V50" s="694">
        <f t="shared" si="138"/>
        <v>0</v>
      </c>
      <c r="W50" s="694">
        <f t="shared" si="138"/>
        <v>1163.0208333333335</v>
      </c>
      <c r="X50" s="694">
        <f t="shared" si="138"/>
        <v>1451.0416666666667</v>
      </c>
      <c r="Y50" s="694">
        <f t="shared" si="138"/>
        <v>1709.8958333333335</v>
      </c>
      <c r="Z50" s="694">
        <f t="shared" si="138"/>
        <v>1939.5833333333335</v>
      </c>
      <c r="AA50" s="694">
        <f t="shared" si="138"/>
        <v>2169.2708333333335</v>
      </c>
      <c r="AB50" s="694">
        <f t="shared" si="138"/>
        <v>2398.9583333333335</v>
      </c>
      <c r="AC50" s="694">
        <f t="shared" si="138"/>
        <v>2628.6458333333335</v>
      </c>
      <c r="AD50" s="694">
        <f t="shared" si="138"/>
        <v>2858.3333333333335</v>
      </c>
      <c r="AE50" s="694">
        <f t="shared" si="138"/>
        <v>3088.0208333333335</v>
      </c>
      <c r="AF50" s="694">
        <f t="shared" si="138"/>
        <v>3317.7083333333335</v>
      </c>
      <c r="AG50" s="904">
        <f>SUM(U50:AF50)</f>
        <v>22724.479166666668</v>
      </c>
      <c r="AH50" s="904">
        <f t="shared" ref="AH50:AO50" si="139">AH36+AH42+AH48</f>
        <v>61449.062499999993</v>
      </c>
      <c r="AI50" s="904">
        <f t="shared" si="139"/>
        <v>102544.75</v>
      </c>
      <c r="AJ50" s="904">
        <f t="shared" si="139"/>
        <v>142455.0295</v>
      </c>
      <c r="AK50" s="904">
        <f t="shared" si="139"/>
        <v>183004.59583000003</v>
      </c>
      <c r="AL50" s="904">
        <f t="shared" si="139"/>
        <v>219843.31881924998</v>
      </c>
      <c r="AM50" s="904">
        <f t="shared" si="139"/>
        <v>251780.75248375002</v>
      </c>
      <c r="AN50" s="904">
        <f t="shared" si="139"/>
        <v>283718.18614825007</v>
      </c>
      <c r="AO50" s="1001">
        <f t="shared" si="139"/>
        <v>315655.61981275002</v>
      </c>
    </row>
    <row r="51" spans="1:42" s="18" customFormat="1" ht="13.15" customHeight="1" x14ac:dyDescent="0.2">
      <c r="A51" s="680"/>
      <c r="B51" s="680"/>
      <c r="C51" s="682"/>
      <c r="D51" s="682"/>
      <c r="E51" s="682"/>
      <c r="F51" s="682"/>
      <c r="G51" s="900"/>
      <c r="H51" s="682"/>
      <c r="I51" s="682"/>
      <c r="J51" s="682"/>
      <c r="K51" s="682"/>
      <c r="L51" s="682"/>
      <c r="M51" s="682"/>
      <c r="N51" s="682"/>
      <c r="O51" s="682"/>
      <c r="P51" s="682"/>
      <c r="Q51" s="682"/>
      <c r="R51" s="682"/>
      <c r="S51" s="682"/>
      <c r="T51" s="917"/>
      <c r="U51" s="682"/>
      <c r="V51" s="682"/>
      <c r="W51" s="682"/>
      <c r="X51" s="682"/>
      <c r="Y51" s="682"/>
      <c r="Z51" s="682"/>
      <c r="AA51" s="682"/>
      <c r="AB51" s="682"/>
      <c r="AC51" s="682"/>
      <c r="AD51" s="682"/>
      <c r="AE51" s="682"/>
      <c r="AF51" s="682"/>
      <c r="AG51" s="917"/>
      <c r="AH51" s="917"/>
      <c r="AI51" s="917"/>
      <c r="AJ51" s="917"/>
      <c r="AK51" s="924"/>
      <c r="AL51" s="924"/>
      <c r="AM51" s="924"/>
      <c r="AN51" s="924"/>
      <c r="AO51" s="995"/>
    </row>
    <row r="52" spans="1:42" s="18" customFormat="1" ht="13.15" customHeight="1" x14ac:dyDescent="0.2">
      <c r="A52" s="680" t="s">
        <v>258</v>
      </c>
      <c r="B52" s="680"/>
      <c r="C52" s="767">
        <f t="shared" ref="C52:F52" si="140">C25</f>
        <v>300</v>
      </c>
      <c r="D52" s="767">
        <f t="shared" si="140"/>
        <v>300</v>
      </c>
      <c r="E52" s="767">
        <f t="shared" si="140"/>
        <v>300</v>
      </c>
      <c r="F52" s="767">
        <f t="shared" si="140"/>
        <v>300</v>
      </c>
      <c r="G52" s="905">
        <f>F52</f>
        <v>300</v>
      </c>
      <c r="H52" s="767">
        <f t="shared" ref="H52:M52" si="141">H25</f>
        <v>300</v>
      </c>
      <c r="I52" s="767">
        <f t="shared" si="141"/>
        <v>300</v>
      </c>
      <c r="J52" s="767">
        <f t="shared" si="141"/>
        <v>300</v>
      </c>
      <c r="K52" s="767">
        <f t="shared" si="141"/>
        <v>300</v>
      </c>
      <c r="L52" s="767">
        <f t="shared" si="141"/>
        <v>300</v>
      </c>
      <c r="M52" s="767">
        <f t="shared" si="141"/>
        <v>300</v>
      </c>
      <c r="N52" s="767">
        <f t="shared" ref="N52:AO52" si="142">N25</f>
        <v>300</v>
      </c>
      <c r="O52" s="767">
        <f t="shared" si="142"/>
        <v>300</v>
      </c>
      <c r="P52" s="767">
        <f t="shared" si="142"/>
        <v>300</v>
      </c>
      <c r="Q52" s="767">
        <f t="shared" si="142"/>
        <v>300</v>
      </c>
      <c r="R52" s="767">
        <f t="shared" si="142"/>
        <v>300</v>
      </c>
      <c r="S52" s="767">
        <f t="shared" si="142"/>
        <v>300</v>
      </c>
      <c r="T52" s="905">
        <f t="shared" si="142"/>
        <v>300</v>
      </c>
      <c r="U52" s="767">
        <f t="shared" si="142"/>
        <v>300</v>
      </c>
      <c r="V52" s="767">
        <f t="shared" si="142"/>
        <v>300</v>
      </c>
      <c r="W52" s="767">
        <f t="shared" si="142"/>
        <v>300</v>
      </c>
      <c r="X52" s="767">
        <f t="shared" si="142"/>
        <v>300</v>
      </c>
      <c r="Y52" s="767">
        <f t="shared" si="142"/>
        <v>300</v>
      </c>
      <c r="Z52" s="767">
        <f t="shared" si="142"/>
        <v>300</v>
      </c>
      <c r="AA52" s="767">
        <f t="shared" si="142"/>
        <v>300</v>
      </c>
      <c r="AB52" s="767">
        <f t="shared" si="142"/>
        <v>300</v>
      </c>
      <c r="AC52" s="767">
        <f t="shared" si="142"/>
        <v>300</v>
      </c>
      <c r="AD52" s="767">
        <f t="shared" si="142"/>
        <v>300</v>
      </c>
      <c r="AE52" s="767">
        <f t="shared" si="142"/>
        <v>300</v>
      </c>
      <c r="AF52" s="767">
        <f t="shared" si="142"/>
        <v>300</v>
      </c>
      <c r="AG52" s="905">
        <f t="shared" si="142"/>
        <v>300</v>
      </c>
      <c r="AH52" s="905">
        <f t="shared" si="142"/>
        <v>300</v>
      </c>
      <c r="AI52" s="905">
        <f t="shared" si="142"/>
        <v>300</v>
      </c>
      <c r="AJ52" s="905">
        <f t="shared" si="142"/>
        <v>300</v>
      </c>
      <c r="AK52" s="905">
        <f t="shared" si="142"/>
        <v>300</v>
      </c>
      <c r="AL52" s="905">
        <f t="shared" si="142"/>
        <v>300</v>
      </c>
      <c r="AM52" s="905">
        <f t="shared" si="142"/>
        <v>300</v>
      </c>
      <c r="AN52" s="905">
        <f t="shared" si="142"/>
        <v>300</v>
      </c>
      <c r="AO52" s="1002">
        <f t="shared" si="142"/>
        <v>300</v>
      </c>
      <c r="AP52" s="988"/>
    </row>
    <row r="53" spans="1:42" s="18" customFormat="1" ht="13.15" customHeight="1" x14ac:dyDescent="0.2">
      <c r="A53" s="680"/>
      <c r="B53" s="680"/>
      <c r="C53" s="682"/>
      <c r="D53" s="682"/>
      <c r="E53" s="682"/>
      <c r="F53" s="682"/>
      <c r="G53" s="900"/>
      <c r="H53" s="682"/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917"/>
      <c r="U53" s="682"/>
      <c r="V53" s="682"/>
      <c r="W53" s="682"/>
      <c r="X53" s="682"/>
      <c r="Y53" s="682"/>
      <c r="Z53" s="682"/>
      <c r="AA53" s="682"/>
      <c r="AB53" s="682"/>
      <c r="AC53" s="682"/>
      <c r="AD53" s="682"/>
      <c r="AE53" s="682"/>
      <c r="AF53" s="682"/>
      <c r="AG53" s="917"/>
      <c r="AH53" s="917"/>
      <c r="AI53" s="917"/>
      <c r="AJ53" s="917"/>
      <c r="AK53" s="924"/>
      <c r="AL53" s="924"/>
      <c r="AM53" s="924"/>
      <c r="AN53" s="924"/>
      <c r="AO53" s="995"/>
    </row>
    <row r="54" spans="1:42" s="794" customFormat="1" ht="13.15" customHeight="1" x14ac:dyDescent="0.2">
      <c r="A54" s="763" t="s">
        <v>323</v>
      </c>
      <c r="B54" s="763"/>
      <c r="C54" s="765">
        <f t="shared" ref="C54:F54" si="143">C50*C52</f>
        <v>0</v>
      </c>
      <c r="D54" s="765">
        <f t="shared" si="143"/>
        <v>0</v>
      </c>
      <c r="E54" s="765">
        <f t="shared" si="143"/>
        <v>0</v>
      </c>
      <c r="F54" s="765">
        <f t="shared" si="143"/>
        <v>0</v>
      </c>
      <c r="G54" s="906">
        <f>SUM(C54:F54)</f>
        <v>0</v>
      </c>
      <c r="H54" s="765">
        <f t="shared" ref="H54:M54" si="144">H50*H52</f>
        <v>0</v>
      </c>
      <c r="I54" s="765">
        <f t="shared" si="144"/>
        <v>0</v>
      </c>
      <c r="J54" s="765">
        <f t="shared" si="144"/>
        <v>0</v>
      </c>
      <c r="K54" s="765">
        <f t="shared" si="144"/>
        <v>0</v>
      </c>
      <c r="L54" s="765">
        <f t="shared" si="144"/>
        <v>0</v>
      </c>
      <c r="M54" s="765">
        <f t="shared" si="144"/>
        <v>0</v>
      </c>
      <c r="N54" s="765">
        <f t="shared" ref="N54:S54" si="145">N50*N52</f>
        <v>0</v>
      </c>
      <c r="O54" s="765">
        <f t="shared" si="145"/>
        <v>0</v>
      </c>
      <c r="P54" s="765">
        <f t="shared" si="145"/>
        <v>0</v>
      </c>
      <c r="Q54" s="765">
        <f t="shared" si="145"/>
        <v>0</v>
      </c>
      <c r="R54" s="765">
        <f t="shared" si="145"/>
        <v>0</v>
      </c>
      <c r="S54" s="765">
        <f t="shared" si="145"/>
        <v>0</v>
      </c>
      <c r="T54" s="906">
        <f>SUM(H54:S54)</f>
        <v>0</v>
      </c>
      <c r="U54" s="765">
        <f>U50*U52</f>
        <v>0</v>
      </c>
      <c r="V54" s="765">
        <f t="shared" ref="V54:AF54" si="146">V50*V52</f>
        <v>0</v>
      </c>
      <c r="W54" s="765">
        <f t="shared" si="146"/>
        <v>348906.25000000006</v>
      </c>
      <c r="X54" s="765">
        <f t="shared" si="146"/>
        <v>435312.5</v>
      </c>
      <c r="Y54" s="765">
        <f t="shared" si="146"/>
        <v>512968.75000000006</v>
      </c>
      <c r="Z54" s="765">
        <f t="shared" si="146"/>
        <v>581875</v>
      </c>
      <c r="AA54" s="765">
        <f t="shared" si="146"/>
        <v>650781.25</v>
      </c>
      <c r="AB54" s="765">
        <f t="shared" si="146"/>
        <v>719687.5</v>
      </c>
      <c r="AC54" s="765">
        <f t="shared" si="146"/>
        <v>788593.75</v>
      </c>
      <c r="AD54" s="765">
        <f t="shared" si="146"/>
        <v>857500</v>
      </c>
      <c r="AE54" s="765">
        <f t="shared" si="146"/>
        <v>926406.25</v>
      </c>
      <c r="AF54" s="765">
        <f t="shared" si="146"/>
        <v>995312.5</v>
      </c>
      <c r="AG54" s="906">
        <f>SUM(U54:AF54)</f>
        <v>6817343.75</v>
      </c>
      <c r="AH54" s="906">
        <f t="shared" ref="AH54:AO54" si="147">AH50*AH52</f>
        <v>18434718.749999996</v>
      </c>
      <c r="AI54" s="906">
        <f t="shared" si="147"/>
        <v>30763425</v>
      </c>
      <c r="AJ54" s="906">
        <f t="shared" si="147"/>
        <v>42736508.850000001</v>
      </c>
      <c r="AK54" s="906">
        <f t="shared" si="147"/>
        <v>54901378.749000013</v>
      </c>
      <c r="AL54" s="906">
        <f t="shared" si="147"/>
        <v>65952995.64577499</v>
      </c>
      <c r="AM54" s="906">
        <f t="shared" si="147"/>
        <v>75534225.745125011</v>
      </c>
      <c r="AN54" s="906">
        <f t="shared" si="147"/>
        <v>85115455.844475016</v>
      </c>
      <c r="AO54" s="1003">
        <f t="shared" si="147"/>
        <v>94696685.943825006</v>
      </c>
      <c r="AP54" s="277"/>
    </row>
    <row r="55" spans="1:42" s="18" customFormat="1" ht="13.15" customHeight="1" x14ac:dyDescent="0.2">
      <c r="A55" s="680"/>
      <c r="B55" s="680"/>
      <c r="C55" s="680"/>
      <c r="D55" s="680"/>
      <c r="E55" s="680"/>
      <c r="F55" s="680"/>
      <c r="G55" s="900"/>
      <c r="H55" s="682"/>
      <c r="I55" s="682"/>
      <c r="J55" s="682"/>
      <c r="K55" s="682"/>
      <c r="L55" s="682"/>
      <c r="M55" s="682"/>
      <c r="N55" s="682"/>
      <c r="O55" s="682"/>
      <c r="P55" s="682"/>
      <c r="Q55" s="682"/>
      <c r="R55" s="682"/>
      <c r="S55" s="682"/>
      <c r="T55" s="917"/>
      <c r="U55" s="682"/>
      <c r="V55" s="682"/>
      <c r="W55" s="682"/>
      <c r="X55" s="682"/>
      <c r="Y55" s="682"/>
      <c r="Z55" s="682"/>
      <c r="AA55" s="682"/>
      <c r="AB55" s="682"/>
      <c r="AC55" s="682"/>
      <c r="AD55" s="682"/>
      <c r="AE55" s="682"/>
      <c r="AF55" s="682"/>
      <c r="AG55" s="917"/>
      <c r="AH55" s="917"/>
      <c r="AI55" s="917"/>
      <c r="AJ55" s="917"/>
      <c r="AK55" s="924"/>
      <c r="AL55" s="924"/>
      <c r="AM55" s="924"/>
      <c r="AN55" s="924"/>
      <c r="AO55" s="995"/>
    </row>
    <row r="56" spans="1:42" s="18" customFormat="1" ht="13.15" customHeight="1" x14ac:dyDescent="0.2">
      <c r="A56" s="680"/>
      <c r="B56" s="680"/>
      <c r="C56" s="680"/>
      <c r="D56" s="680"/>
      <c r="E56" s="680"/>
      <c r="F56" s="680"/>
      <c r="G56" s="900"/>
      <c r="H56" s="682"/>
      <c r="I56" s="682"/>
      <c r="J56" s="682"/>
      <c r="K56" s="682"/>
      <c r="L56" s="682"/>
      <c r="M56" s="682"/>
      <c r="N56" s="682"/>
      <c r="O56" s="682"/>
      <c r="P56" s="682"/>
      <c r="Q56" s="682"/>
      <c r="R56" s="682"/>
      <c r="S56" s="682"/>
      <c r="T56" s="917"/>
      <c r="U56" s="682"/>
      <c r="V56" s="682"/>
      <c r="W56" s="682"/>
      <c r="X56" s="682"/>
      <c r="Y56" s="682"/>
      <c r="Z56" s="682"/>
      <c r="AA56" s="682"/>
      <c r="AB56" s="682"/>
      <c r="AC56" s="682"/>
      <c r="AD56" s="682"/>
      <c r="AE56" s="682"/>
      <c r="AF56" s="682"/>
      <c r="AG56" s="917"/>
      <c r="AH56" s="917"/>
      <c r="AI56" s="917"/>
      <c r="AJ56" s="917"/>
      <c r="AK56" s="924"/>
      <c r="AL56" s="924"/>
      <c r="AM56" s="924"/>
      <c r="AN56" s="924"/>
      <c r="AO56" s="995"/>
    </row>
    <row r="57" spans="1:42" s="18" customFormat="1" ht="13.15" customHeight="1" x14ac:dyDescent="0.2">
      <c r="A57" s="676" t="s">
        <v>474</v>
      </c>
      <c r="B57" s="676"/>
      <c r="C57" s="676"/>
      <c r="D57" s="676"/>
      <c r="E57" s="676"/>
      <c r="F57" s="676"/>
      <c r="G57" s="898"/>
      <c r="H57" s="678"/>
      <c r="I57" s="678"/>
      <c r="J57" s="678"/>
      <c r="K57" s="678"/>
      <c r="L57" s="678"/>
      <c r="M57" s="678"/>
      <c r="N57" s="678"/>
      <c r="O57" s="678"/>
      <c r="P57" s="678"/>
      <c r="Q57" s="678"/>
      <c r="R57" s="678"/>
      <c r="S57" s="678"/>
      <c r="T57" s="915"/>
      <c r="U57" s="678"/>
      <c r="V57" s="678"/>
      <c r="W57" s="678"/>
      <c r="X57" s="678"/>
      <c r="Y57" s="678"/>
      <c r="Z57" s="678"/>
      <c r="AA57" s="678"/>
      <c r="AB57" s="678"/>
      <c r="AC57" s="678"/>
      <c r="AD57" s="678"/>
      <c r="AE57" s="678"/>
      <c r="AF57" s="678"/>
      <c r="AG57" s="915"/>
      <c r="AH57" s="915"/>
      <c r="AI57" s="915"/>
      <c r="AJ57" s="915"/>
      <c r="AK57" s="924"/>
      <c r="AL57" s="924"/>
      <c r="AM57" s="924"/>
      <c r="AN57" s="924"/>
      <c r="AO57" s="995"/>
    </row>
    <row r="58" spans="1:42" s="18" customFormat="1" ht="13.15" customHeight="1" x14ac:dyDescent="0.2">
      <c r="A58" s="674" t="s">
        <v>250</v>
      </c>
      <c r="B58" s="674"/>
      <c r="C58" s="690">
        <f>$G58/12</f>
        <v>29166.666666666668</v>
      </c>
      <c r="D58" s="690">
        <f t="shared" ref="D58:F58" si="148">$G58/12</f>
        <v>29166.666666666668</v>
      </c>
      <c r="E58" s="690">
        <f t="shared" si="148"/>
        <v>29166.666666666668</v>
      </c>
      <c r="F58" s="690">
        <f t="shared" si="148"/>
        <v>29166.666666666668</v>
      </c>
      <c r="G58" s="899">
        <v>350000</v>
      </c>
      <c r="H58" s="690">
        <f t="shared" ref="H58:M58" si="149">$T58/12</f>
        <v>29166.666666666668</v>
      </c>
      <c r="I58" s="690">
        <f t="shared" si="149"/>
        <v>29166.666666666668</v>
      </c>
      <c r="J58" s="690">
        <f t="shared" si="149"/>
        <v>29166.666666666668</v>
      </c>
      <c r="K58" s="690">
        <f t="shared" si="149"/>
        <v>29166.666666666668</v>
      </c>
      <c r="L58" s="690">
        <f t="shared" si="149"/>
        <v>29166.666666666668</v>
      </c>
      <c r="M58" s="690">
        <f t="shared" si="149"/>
        <v>29166.666666666668</v>
      </c>
      <c r="N58" s="690">
        <f t="shared" ref="N58:S58" si="150">$T58/12</f>
        <v>29166.666666666668</v>
      </c>
      <c r="O58" s="690">
        <f t="shared" si="150"/>
        <v>29166.666666666668</v>
      </c>
      <c r="P58" s="690">
        <f t="shared" si="150"/>
        <v>29166.666666666668</v>
      </c>
      <c r="Q58" s="690">
        <f t="shared" si="150"/>
        <v>29166.666666666668</v>
      </c>
      <c r="R58" s="690">
        <f t="shared" si="150"/>
        <v>29166.666666666668</v>
      </c>
      <c r="S58" s="690">
        <f t="shared" si="150"/>
        <v>29166.666666666668</v>
      </c>
      <c r="T58" s="899">
        <v>350000</v>
      </c>
      <c r="U58" s="690">
        <f>$AG58/12</f>
        <v>30625</v>
      </c>
      <c r="V58" s="690">
        <f t="shared" ref="V58:AF58" si="151">$AG58/12</f>
        <v>30625</v>
      </c>
      <c r="W58" s="690">
        <f t="shared" si="151"/>
        <v>30625</v>
      </c>
      <c r="X58" s="690">
        <f t="shared" si="151"/>
        <v>30625</v>
      </c>
      <c r="Y58" s="690">
        <f t="shared" si="151"/>
        <v>30625</v>
      </c>
      <c r="Z58" s="690">
        <f t="shared" si="151"/>
        <v>30625</v>
      </c>
      <c r="AA58" s="690">
        <f t="shared" si="151"/>
        <v>30625</v>
      </c>
      <c r="AB58" s="690">
        <f t="shared" si="151"/>
        <v>30625</v>
      </c>
      <c r="AC58" s="690">
        <f t="shared" si="151"/>
        <v>30625</v>
      </c>
      <c r="AD58" s="690">
        <f t="shared" si="151"/>
        <v>30625</v>
      </c>
      <c r="AE58" s="690">
        <f t="shared" si="151"/>
        <v>30625</v>
      </c>
      <c r="AF58" s="690">
        <f t="shared" si="151"/>
        <v>30625</v>
      </c>
      <c r="AG58" s="902">
        <f>T58*(1+AG59)</f>
        <v>367500</v>
      </c>
      <c r="AH58" s="902">
        <f>AG58*(1+AH59)</f>
        <v>385875</v>
      </c>
      <c r="AI58" s="902">
        <f t="shared" ref="AI58:AO58" si="152">AH58*(1+AI59)</f>
        <v>401310</v>
      </c>
      <c r="AJ58" s="902">
        <f t="shared" si="152"/>
        <v>413349.3</v>
      </c>
      <c r="AK58" s="902">
        <f t="shared" si="152"/>
        <v>421616.28600000002</v>
      </c>
      <c r="AL58" s="902">
        <f t="shared" si="152"/>
        <v>425832.44886</v>
      </c>
      <c r="AM58" s="902">
        <f t="shared" si="152"/>
        <v>425832.44886</v>
      </c>
      <c r="AN58" s="902">
        <f t="shared" si="152"/>
        <v>425832.44886</v>
      </c>
      <c r="AO58" s="996">
        <f t="shared" si="152"/>
        <v>425832.44886</v>
      </c>
    </row>
    <row r="59" spans="1:42" s="987" customFormat="1" ht="13.15" customHeight="1" x14ac:dyDescent="0.2">
      <c r="A59" s="680" t="s">
        <v>324</v>
      </c>
      <c r="B59" s="680"/>
      <c r="C59" s="687"/>
      <c r="D59" s="687"/>
      <c r="E59" s="687"/>
      <c r="F59" s="687"/>
      <c r="G59" s="900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916"/>
      <c r="U59" s="687"/>
      <c r="V59" s="687"/>
      <c r="W59" s="687"/>
      <c r="X59" s="687"/>
      <c r="Y59" s="687"/>
      <c r="Z59" s="687"/>
      <c r="AA59" s="687"/>
      <c r="AB59" s="687"/>
      <c r="AC59" s="687"/>
      <c r="AD59" s="687"/>
      <c r="AE59" s="687"/>
      <c r="AF59" s="687"/>
      <c r="AG59" s="921">
        <v>0.05</v>
      </c>
      <c r="AH59" s="921">
        <v>0.05</v>
      </c>
      <c r="AI59" s="921">
        <f>AH59-1%</f>
        <v>0.04</v>
      </c>
      <c r="AJ59" s="921">
        <f>AI59-1%</f>
        <v>0.03</v>
      </c>
      <c r="AK59" s="921">
        <f>AJ59-1%</f>
        <v>1.9999999999999997E-2</v>
      </c>
      <c r="AL59" s="921">
        <f>AK59-1%</f>
        <v>9.9999999999999967E-3</v>
      </c>
      <c r="AM59" s="921">
        <f>AL59-1%</f>
        <v>0</v>
      </c>
      <c r="AN59" s="925">
        <f>AM59</f>
        <v>0</v>
      </c>
      <c r="AO59" s="997">
        <f>AN59</f>
        <v>0</v>
      </c>
    </row>
    <row r="60" spans="1:42" s="987" customFormat="1" ht="13.15" customHeight="1" x14ac:dyDescent="0.2">
      <c r="A60" s="680" t="s">
        <v>248</v>
      </c>
      <c r="B60" s="680"/>
      <c r="C60" s="687">
        <f t="shared" ref="C60" si="153">C6</f>
        <v>0</v>
      </c>
      <c r="D60" s="687">
        <f t="shared" ref="D60:F60" si="154">D6</f>
        <v>0</v>
      </c>
      <c r="E60" s="687">
        <f t="shared" si="154"/>
        <v>0</v>
      </c>
      <c r="F60" s="687">
        <f t="shared" si="154"/>
        <v>0</v>
      </c>
      <c r="G60" s="901">
        <f>T6</f>
        <v>0</v>
      </c>
      <c r="H60" s="687">
        <f t="shared" ref="H60:M60" si="155">H6</f>
        <v>0</v>
      </c>
      <c r="I60" s="687">
        <f t="shared" si="155"/>
        <v>0</v>
      </c>
      <c r="J60" s="687">
        <f t="shared" si="155"/>
        <v>0</v>
      </c>
      <c r="K60" s="687">
        <f t="shared" si="155"/>
        <v>0</v>
      </c>
      <c r="L60" s="687">
        <f t="shared" si="155"/>
        <v>0</v>
      </c>
      <c r="M60" s="687">
        <f t="shared" si="155"/>
        <v>0</v>
      </c>
      <c r="N60" s="687">
        <f t="shared" ref="N60:T60" si="156">N6</f>
        <v>0</v>
      </c>
      <c r="O60" s="687">
        <f t="shared" si="156"/>
        <v>0</v>
      </c>
      <c r="P60" s="687">
        <f t="shared" si="156"/>
        <v>0</v>
      </c>
      <c r="Q60" s="687">
        <f t="shared" si="156"/>
        <v>0</v>
      </c>
      <c r="R60" s="687">
        <f t="shared" si="156"/>
        <v>0</v>
      </c>
      <c r="S60" s="687">
        <f t="shared" si="156"/>
        <v>0</v>
      </c>
      <c r="T60" s="916">
        <f t="shared" si="156"/>
        <v>0</v>
      </c>
      <c r="U60" s="687">
        <v>0</v>
      </c>
      <c r="V60" s="687">
        <v>0</v>
      </c>
      <c r="W60" s="687">
        <v>0</v>
      </c>
      <c r="X60" s="687">
        <v>0</v>
      </c>
      <c r="Y60" s="687">
        <v>0</v>
      </c>
      <c r="Z60" s="687">
        <v>0</v>
      </c>
      <c r="AA60" s="687">
        <v>0</v>
      </c>
      <c r="AB60" s="687">
        <v>0</v>
      </c>
      <c r="AC60" s="687">
        <v>0</v>
      </c>
      <c r="AD60" s="687">
        <v>0</v>
      </c>
      <c r="AE60" s="687">
        <v>0</v>
      </c>
      <c r="AF60" s="687">
        <v>0</v>
      </c>
      <c r="AG60" s="916">
        <f>AF60</f>
        <v>0</v>
      </c>
      <c r="AH60" s="921">
        <f>AG6</f>
        <v>1.0000000000000002E-2</v>
      </c>
      <c r="AI60" s="921">
        <f t="shared" ref="AI60:AO60" si="157">AH6</f>
        <v>2.5000000000000001E-2</v>
      </c>
      <c r="AJ60" s="921">
        <f t="shared" si="157"/>
        <v>0.05</v>
      </c>
      <c r="AK60" s="921">
        <f t="shared" si="157"/>
        <v>0.1</v>
      </c>
      <c r="AL60" s="921">
        <f t="shared" si="157"/>
        <v>0.12</v>
      </c>
      <c r="AM60" s="921">
        <f t="shared" si="157"/>
        <v>0.13999999999999999</v>
      </c>
      <c r="AN60" s="921">
        <f t="shared" si="157"/>
        <v>0.15999999999999998</v>
      </c>
      <c r="AO60" s="1004">
        <f t="shared" si="157"/>
        <v>0.17999999999999997</v>
      </c>
    </row>
    <row r="61" spans="1:42" s="18" customFormat="1" ht="13.15" customHeight="1" x14ac:dyDescent="0.2">
      <c r="A61" s="680" t="s">
        <v>251</v>
      </c>
      <c r="B61" s="680"/>
      <c r="C61" s="690">
        <f t="shared" ref="C61" si="158">C58*C60</f>
        <v>0</v>
      </c>
      <c r="D61" s="690">
        <f t="shared" ref="D61:F61" si="159">D58*D60</f>
        <v>0</v>
      </c>
      <c r="E61" s="690">
        <f t="shared" si="159"/>
        <v>0</v>
      </c>
      <c r="F61" s="690">
        <f t="shared" si="159"/>
        <v>0</v>
      </c>
      <c r="G61" s="902">
        <f>SUM(C61:F61)</f>
        <v>0</v>
      </c>
      <c r="H61" s="690">
        <f t="shared" ref="H61:M61" si="160">H58*H60</f>
        <v>0</v>
      </c>
      <c r="I61" s="690">
        <f t="shared" si="160"/>
        <v>0</v>
      </c>
      <c r="J61" s="690">
        <f t="shared" si="160"/>
        <v>0</v>
      </c>
      <c r="K61" s="690">
        <f t="shared" si="160"/>
        <v>0</v>
      </c>
      <c r="L61" s="690">
        <f t="shared" si="160"/>
        <v>0</v>
      </c>
      <c r="M61" s="690">
        <f t="shared" si="160"/>
        <v>0</v>
      </c>
      <c r="N61" s="690">
        <f t="shared" ref="N61:S61" si="161">N58*N60</f>
        <v>0</v>
      </c>
      <c r="O61" s="690">
        <f t="shared" si="161"/>
        <v>0</v>
      </c>
      <c r="P61" s="690">
        <f t="shared" si="161"/>
        <v>0</v>
      </c>
      <c r="Q61" s="690">
        <f t="shared" si="161"/>
        <v>0</v>
      </c>
      <c r="R61" s="690">
        <f t="shared" si="161"/>
        <v>0</v>
      </c>
      <c r="S61" s="690">
        <f t="shared" si="161"/>
        <v>0</v>
      </c>
      <c r="T61" s="917">
        <f>SUM(H61:S61)</f>
        <v>0</v>
      </c>
      <c r="U61" s="690">
        <f t="shared" ref="U61:AF61" si="162">U58*U60</f>
        <v>0</v>
      </c>
      <c r="V61" s="690">
        <f t="shared" si="162"/>
        <v>0</v>
      </c>
      <c r="W61" s="690">
        <f t="shared" si="162"/>
        <v>0</v>
      </c>
      <c r="X61" s="690">
        <f t="shared" si="162"/>
        <v>0</v>
      </c>
      <c r="Y61" s="690">
        <f t="shared" si="162"/>
        <v>0</v>
      </c>
      <c r="Z61" s="690">
        <f t="shared" si="162"/>
        <v>0</v>
      </c>
      <c r="AA61" s="690">
        <f t="shared" si="162"/>
        <v>0</v>
      </c>
      <c r="AB61" s="690">
        <f t="shared" si="162"/>
        <v>0</v>
      </c>
      <c r="AC61" s="690">
        <f t="shared" si="162"/>
        <v>0</v>
      </c>
      <c r="AD61" s="690">
        <f t="shared" si="162"/>
        <v>0</v>
      </c>
      <c r="AE61" s="690">
        <f t="shared" si="162"/>
        <v>0</v>
      </c>
      <c r="AF61" s="690">
        <f t="shared" si="162"/>
        <v>0</v>
      </c>
      <c r="AG61" s="902">
        <f>SUM(U61:AF61)</f>
        <v>0</v>
      </c>
      <c r="AH61" s="902">
        <f>AH58*AVERAGE(AF60,AH60)</f>
        <v>1929.3750000000005</v>
      </c>
      <c r="AI61" s="902">
        <f t="shared" ref="AI61:AO61" si="163">AI58*AVERAGE(AH60,AI60)</f>
        <v>7022.9250000000011</v>
      </c>
      <c r="AJ61" s="902">
        <f t="shared" si="163"/>
        <v>15500.598750000001</v>
      </c>
      <c r="AK61" s="902">
        <f t="shared" si="163"/>
        <v>31621.221450000005</v>
      </c>
      <c r="AL61" s="902">
        <f t="shared" si="163"/>
        <v>46841.569374600003</v>
      </c>
      <c r="AM61" s="902">
        <f t="shared" si="163"/>
        <v>55358.218351800002</v>
      </c>
      <c r="AN61" s="902">
        <f t="shared" si="163"/>
        <v>63874.867328999986</v>
      </c>
      <c r="AO61" s="996">
        <f t="shared" si="163"/>
        <v>72391.516306199992</v>
      </c>
    </row>
    <row r="62" spans="1:42" s="18" customFormat="1" ht="13.15" customHeight="1" x14ac:dyDescent="0.2">
      <c r="A62" s="680" t="s">
        <v>249</v>
      </c>
      <c r="B62" s="680"/>
      <c r="C62" s="686">
        <v>2.5</v>
      </c>
      <c r="D62" s="686">
        <f>C62</f>
        <v>2.5</v>
      </c>
      <c r="E62" s="686">
        <f t="shared" ref="E62:F62" si="164">D62</f>
        <v>2.5</v>
      </c>
      <c r="F62" s="686">
        <f t="shared" si="164"/>
        <v>2.5</v>
      </c>
      <c r="G62" s="903">
        <f>F62</f>
        <v>2.5</v>
      </c>
      <c r="H62" s="686">
        <f>F62</f>
        <v>2.5</v>
      </c>
      <c r="I62" s="686">
        <f>H62</f>
        <v>2.5</v>
      </c>
      <c r="J62" s="686">
        <f t="shared" ref="J62:S62" si="165">I62</f>
        <v>2.5</v>
      </c>
      <c r="K62" s="686">
        <f t="shared" si="165"/>
        <v>2.5</v>
      </c>
      <c r="L62" s="686">
        <f t="shared" si="165"/>
        <v>2.5</v>
      </c>
      <c r="M62" s="686">
        <f t="shared" si="165"/>
        <v>2.5</v>
      </c>
      <c r="N62" s="686">
        <f t="shared" si="165"/>
        <v>2.5</v>
      </c>
      <c r="O62" s="686">
        <f t="shared" si="165"/>
        <v>2.5</v>
      </c>
      <c r="P62" s="686">
        <f t="shared" si="165"/>
        <v>2.5</v>
      </c>
      <c r="Q62" s="686">
        <f t="shared" si="165"/>
        <v>2.5</v>
      </c>
      <c r="R62" s="686">
        <f t="shared" si="165"/>
        <v>2.5</v>
      </c>
      <c r="S62" s="686">
        <f t="shared" si="165"/>
        <v>2.5</v>
      </c>
      <c r="T62" s="903">
        <f t="shared" ref="T62" si="166">S62</f>
        <v>2.5</v>
      </c>
      <c r="U62" s="686">
        <f>S62</f>
        <v>2.5</v>
      </c>
      <c r="V62" s="686">
        <f>U62</f>
        <v>2.5</v>
      </c>
      <c r="W62" s="686">
        <f t="shared" ref="W62:AF62" si="167">V62</f>
        <v>2.5</v>
      </c>
      <c r="X62" s="686">
        <f t="shared" si="167"/>
        <v>2.5</v>
      </c>
      <c r="Y62" s="686">
        <f t="shared" si="167"/>
        <v>2.5</v>
      </c>
      <c r="Z62" s="686">
        <f t="shared" si="167"/>
        <v>2.5</v>
      </c>
      <c r="AA62" s="686">
        <f t="shared" si="167"/>
        <v>2.5</v>
      </c>
      <c r="AB62" s="686">
        <f t="shared" si="167"/>
        <v>2.5</v>
      </c>
      <c r="AC62" s="686">
        <f t="shared" si="167"/>
        <v>2.5</v>
      </c>
      <c r="AD62" s="686">
        <f t="shared" si="167"/>
        <v>2.5</v>
      </c>
      <c r="AE62" s="686">
        <f t="shared" si="167"/>
        <v>2.5</v>
      </c>
      <c r="AF62" s="686">
        <f t="shared" si="167"/>
        <v>2.5</v>
      </c>
      <c r="AG62" s="919">
        <f>AF62</f>
        <v>2.5</v>
      </c>
      <c r="AH62" s="919">
        <f>AG62</f>
        <v>2.5</v>
      </c>
      <c r="AI62" s="919">
        <f t="shared" ref="AI62:AO62" si="168">AH62</f>
        <v>2.5</v>
      </c>
      <c r="AJ62" s="919">
        <f t="shared" si="168"/>
        <v>2.5</v>
      </c>
      <c r="AK62" s="919">
        <f t="shared" si="168"/>
        <v>2.5</v>
      </c>
      <c r="AL62" s="919">
        <f t="shared" si="168"/>
        <v>2.5</v>
      </c>
      <c r="AM62" s="919">
        <f t="shared" si="168"/>
        <v>2.5</v>
      </c>
      <c r="AN62" s="919">
        <f t="shared" si="168"/>
        <v>2.5</v>
      </c>
      <c r="AO62" s="998">
        <f t="shared" si="168"/>
        <v>2.5</v>
      </c>
    </row>
    <row r="63" spans="1:42" s="18" customFormat="1" ht="13.15" customHeight="1" x14ac:dyDescent="0.2">
      <c r="A63" s="680" t="s">
        <v>255</v>
      </c>
      <c r="B63" s="680"/>
      <c r="C63" s="690">
        <f t="shared" ref="C63" si="169">C61*C62</f>
        <v>0</v>
      </c>
      <c r="D63" s="690">
        <f t="shared" ref="D63:F63" si="170">D61*D62</f>
        <v>0</v>
      </c>
      <c r="E63" s="690">
        <f t="shared" si="170"/>
        <v>0</v>
      </c>
      <c r="F63" s="690">
        <f t="shared" si="170"/>
        <v>0</v>
      </c>
      <c r="G63" s="902">
        <f>SUM(C63:F63)</f>
        <v>0</v>
      </c>
      <c r="H63" s="690">
        <f t="shared" ref="H63:M63" si="171">H61*H62</f>
        <v>0</v>
      </c>
      <c r="I63" s="690">
        <f t="shared" si="171"/>
        <v>0</v>
      </c>
      <c r="J63" s="690">
        <f t="shared" si="171"/>
        <v>0</v>
      </c>
      <c r="K63" s="690">
        <f t="shared" si="171"/>
        <v>0</v>
      </c>
      <c r="L63" s="690">
        <f t="shared" si="171"/>
        <v>0</v>
      </c>
      <c r="M63" s="690">
        <f t="shared" si="171"/>
        <v>0</v>
      </c>
      <c r="N63" s="690">
        <f t="shared" ref="N63:S63" si="172">N61*N62</f>
        <v>0</v>
      </c>
      <c r="O63" s="690">
        <f t="shared" si="172"/>
        <v>0</v>
      </c>
      <c r="P63" s="690">
        <f t="shared" si="172"/>
        <v>0</v>
      </c>
      <c r="Q63" s="690">
        <f t="shared" si="172"/>
        <v>0</v>
      </c>
      <c r="R63" s="690">
        <f t="shared" si="172"/>
        <v>0</v>
      </c>
      <c r="S63" s="690">
        <f t="shared" si="172"/>
        <v>0</v>
      </c>
      <c r="T63" s="918">
        <f>SUM(H63:S63)</f>
        <v>0</v>
      </c>
      <c r="U63" s="690">
        <f t="shared" ref="U63:AF63" si="173">U61*U62</f>
        <v>0</v>
      </c>
      <c r="V63" s="690">
        <f t="shared" si="173"/>
        <v>0</v>
      </c>
      <c r="W63" s="690">
        <f t="shared" si="173"/>
        <v>0</v>
      </c>
      <c r="X63" s="690">
        <f t="shared" si="173"/>
        <v>0</v>
      </c>
      <c r="Y63" s="690">
        <f t="shared" si="173"/>
        <v>0</v>
      </c>
      <c r="Z63" s="690">
        <f t="shared" si="173"/>
        <v>0</v>
      </c>
      <c r="AA63" s="690">
        <f t="shared" si="173"/>
        <v>0</v>
      </c>
      <c r="AB63" s="690">
        <f t="shared" si="173"/>
        <v>0</v>
      </c>
      <c r="AC63" s="690">
        <f t="shared" si="173"/>
        <v>0</v>
      </c>
      <c r="AD63" s="690">
        <f t="shared" si="173"/>
        <v>0</v>
      </c>
      <c r="AE63" s="690">
        <f t="shared" si="173"/>
        <v>0</v>
      </c>
      <c r="AF63" s="690">
        <f t="shared" si="173"/>
        <v>0</v>
      </c>
      <c r="AG63" s="918">
        <f>SUM(U63:AF63)</f>
        <v>0</v>
      </c>
      <c r="AH63" s="902">
        <f t="shared" ref="AH63:AO63" si="174">AH61*AH62</f>
        <v>4823.4375000000009</v>
      </c>
      <c r="AI63" s="902">
        <f t="shared" si="174"/>
        <v>17557.312500000004</v>
      </c>
      <c r="AJ63" s="902">
        <f t="shared" si="174"/>
        <v>38751.496875000004</v>
      </c>
      <c r="AK63" s="902">
        <f t="shared" si="174"/>
        <v>79053.053625000015</v>
      </c>
      <c r="AL63" s="902">
        <f t="shared" si="174"/>
        <v>117103.92343650002</v>
      </c>
      <c r="AM63" s="902">
        <f t="shared" si="174"/>
        <v>138395.54587950002</v>
      </c>
      <c r="AN63" s="902">
        <f t="shared" si="174"/>
        <v>159687.16832249996</v>
      </c>
      <c r="AO63" s="996">
        <f t="shared" si="174"/>
        <v>180978.79076549999</v>
      </c>
    </row>
    <row r="64" spans="1:42" s="34" customFormat="1" ht="12.4" customHeight="1" x14ac:dyDescent="0.2">
      <c r="A64" s="1"/>
      <c r="B64" s="1"/>
      <c r="C64" s="1"/>
      <c r="D64" s="1"/>
      <c r="E64" s="1"/>
      <c r="F64" s="1"/>
      <c r="G64" s="26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6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268"/>
      <c r="AH64" s="268"/>
      <c r="AI64" s="268"/>
      <c r="AJ64" s="268"/>
      <c r="AK64" s="268"/>
      <c r="AL64" s="268"/>
      <c r="AM64" s="268"/>
      <c r="AN64" s="268"/>
      <c r="AO64" s="999"/>
      <c r="AP64" s="18"/>
    </row>
    <row r="65" spans="1:42" s="18" customFormat="1" ht="13.15" customHeight="1" x14ac:dyDescent="0.2">
      <c r="A65" s="680" t="s">
        <v>253</v>
      </c>
      <c r="B65" s="680"/>
      <c r="C65" s="689">
        <v>0</v>
      </c>
      <c r="D65" s="689">
        <v>0</v>
      </c>
      <c r="E65" s="689">
        <v>0</v>
      </c>
      <c r="F65" s="689">
        <v>0</v>
      </c>
      <c r="G65" s="902">
        <f>F65</f>
        <v>0</v>
      </c>
      <c r="H65" s="689">
        <v>0</v>
      </c>
      <c r="I65" s="689">
        <v>0</v>
      </c>
      <c r="J65" s="689">
        <v>0</v>
      </c>
      <c r="K65" s="689">
        <v>0</v>
      </c>
      <c r="L65" s="689">
        <v>0</v>
      </c>
      <c r="M65" s="689">
        <v>0</v>
      </c>
      <c r="N65" s="689">
        <v>0</v>
      </c>
      <c r="O65" s="689">
        <v>0</v>
      </c>
      <c r="P65" s="689">
        <v>0</v>
      </c>
      <c r="Q65" s="689">
        <v>0</v>
      </c>
      <c r="R65" s="689">
        <v>0</v>
      </c>
      <c r="S65" s="689">
        <v>0</v>
      </c>
      <c r="T65" s="902">
        <f>S65</f>
        <v>0</v>
      </c>
      <c r="U65" s="689">
        <v>4</v>
      </c>
      <c r="V65" s="689">
        <f>U65+4</f>
        <v>8</v>
      </c>
      <c r="W65" s="689">
        <f>V65+4</f>
        <v>12</v>
      </c>
      <c r="X65" s="689">
        <f>W65+4</f>
        <v>16</v>
      </c>
      <c r="Y65" s="689">
        <f>X65+4</f>
        <v>20</v>
      </c>
      <c r="Z65" s="689">
        <f t="shared" ref="Z65:AF65" si="175">Y65</f>
        <v>20</v>
      </c>
      <c r="AA65" s="689">
        <f t="shared" si="175"/>
        <v>20</v>
      </c>
      <c r="AB65" s="689">
        <f t="shared" si="175"/>
        <v>20</v>
      </c>
      <c r="AC65" s="689">
        <f t="shared" si="175"/>
        <v>20</v>
      </c>
      <c r="AD65" s="689">
        <f t="shared" si="175"/>
        <v>20</v>
      </c>
      <c r="AE65" s="689">
        <f t="shared" si="175"/>
        <v>20</v>
      </c>
      <c r="AF65" s="689">
        <f t="shared" si="175"/>
        <v>20</v>
      </c>
      <c r="AG65" s="902">
        <f>AF65</f>
        <v>20</v>
      </c>
      <c r="AH65" s="899">
        <v>20</v>
      </c>
      <c r="AI65" s="899">
        <v>20</v>
      </c>
      <c r="AJ65" s="899">
        <v>20</v>
      </c>
      <c r="AK65" s="899">
        <v>20</v>
      </c>
      <c r="AL65" s="899">
        <v>20</v>
      </c>
      <c r="AM65" s="899">
        <v>20</v>
      </c>
      <c r="AN65" s="899">
        <v>20</v>
      </c>
      <c r="AO65" s="1000">
        <v>20</v>
      </c>
    </row>
    <row r="66" spans="1:42" s="18" customFormat="1" ht="13.15" customHeight="1" x14ac:dyDescent="0.2">
      <c r="A66" s="680" t="s">
        <v>252</v>
      </c>
      <c r="B66" s="680"/>
      <c r="C66" s="689">
        <v>0</v>
      </c>
      <c r="D66" s="689">
        <v>0</v>
      </c>
      <c r="E66" s="689">
        <v>0</v>
      </c>
      <c r="F66" s="689">
        <v>0</v>
      </c>
      <c r="G66" s="902">
        <f>SUM(C66:F66)</f>
        <v>0</v>
      </c>
      <c r="H66" s="689">
        <v>0</v>
      </c>
      <c r="I66" s="689">
        <v>0</v>
      </c>
      <c r="J66" s="689">
        <v>0</v>
      </c>
      <c r="K66" s="689">
        <v>0</v>
      </c>
      <c r="L66" s="689">
        <v>0</v>
      </c>
      <c r="M66" s="689">
        <v>0</v>
      </c>
      <c r="N66" s="689">
        <v>0</v>
      </c>
      <c r="O66" s="689">
        <v>0</v>
      </c>
      <c r="P66" s="689">
        <v>0</v>
      </c>
      <c r="Q66" s="689">
        <v>0</v>
      </c>
      <c r="R66" s="689">
        <v>0</v>
      </c>
      <c r="S66" s="689">
        <v>0</v>
      </c>
      <c r="T66" s="917">
        <f>SUM(H66:S66)</f>
        <v>0</v>
      </c>
      <c r="U66" s="689">
        <v>0</v>
      </c>
      <c r="V66" s="689">
        <v>0</v>
      </c>
      <c r="W66" s="689">
        <v>0</v>
      </c>
      <c r="X66" s="689">
        <v>0</v>
      </c>
      <c r="Y66" s="689">
        <v>0</v>
      </c>
      <c r="Z66" s="689">
        <v>0</v>
      </c>
      <c r="AA66" s="689">
        <v>0</v>
      </c>
      <c r="AB66" s="689">
        <v>0</v>
      </c>
      <c r="AC66" s="689">
        <v>0</v>
      </c>
      <c r="AD66" s="689">
        <v>0</v>
      </c>
      <c r="AE66" s="689">
        <v>0</v>
      </c>
      <c r="AF66" s="689">
        <v>0</v>
      </c>
      <c r="AG66" s="917">
        <f>SUM(U66:AF66)</f>
        <v>0</v>
      </c>
      <c r="AH66" s="899">
        <v>100</v>
      </c>
      <c r="AI66" s="899">
        <v>100</v>
      </c>
      <c r="AJ66" s="899">
        <v>100</v>
      </c>
      <c r="AK66" s="899">
        <v>100</v>
      </c>
      <c r="AL66" s="899">
        <v>100</v>
      </c>
      <c r="AM66" s="899">
        <v>100</v>
      </c>
      <c r="AN66" s="899">
        <v>100</v>
      </c>
      <c r="AO66" s="1000">
        <v>100</v>
      </c>
    </row>
    <row r="67" spans="1:42" s="18" customFormat="1" ht="13.15" customHeight="1" x14ac:dyDescent="0.2">
      <c r="A67" s="680" t="s">
        <v>254</v>
      </c>
      <c r="B67" s="680"/>
      <c r="C67" s="690">
        <f t="shared" ref="C67" si="176">C65*C66</f>
        <v>0</v>
      </c>
      <c r="D67" s="690">
        <f t="shared" ref="D67:F67" si="177">D65*D66</f>
        <v>0</v>
      </c>
      <c r="E67" s="690">
        <f t="shared" si="177"/>
        <v>0</v>
      </c>
      <c r="F67" s="690">
        <f t="shared" si="177"/>
        <v>0</v>
      </c>
      <c r="G67" s="902">
        <f>SUM(C67:F67)</f>
        <v>0</v>
      </c>
      <c r="H67" s="690">
        <f t="shared" ref="H67:M67" si="178">H65*H66</f>
        <v>0</v>
      </c>
      <c r="I67" s="690">
        <f t="shared" si="178"/>
        <v>0</v>
      </c>
      <c r="J67" s="690">
        <f t="shared" si="178"/>
        <v>0</v>
      </c>
      <c r="K67" s="690">
        <f t="shared" si="178"/>
        <v>0</v>
      </c>
      <c r="L67" s="690">
        <f t="shared" si="178"/>
        <v>0</v>
      </c>
      <c r="M67" s="690">
        <f t="shared" si="178"/>
        <v>0</v>
      </c>
      <c r="N67" s="690">
        <f t="shared" ref="N67:S67" si="179">N65*N66</f>
        <v>0</v>
      </c>
      <c r="O67" s="690">
        <f t="shared" si="179"/>
        <v>0</v>
      </c>
      <c r="P67" s="690">
        <f t="shared" si="179"/>
        <v>0</v>
      </c>
      <c r="Q67" s="690">
        <f t="shared" si="179"/>
        <v>0</v>
      </c>
      <c r="R67" s="690">
        <f t="shared" si="179"/>
        <v>0</v>
      </c>
      <c r="S67" s="690">
        <f t="shared" si="179"/>
        <v>0</v>
      </c>
      <c r="T67" s="917">
        <f>SUM(H67:S67)</f>
        <v>0</v>
      </c>
      <c r="U67" s="690">
        <f t="shared" ref="U67:AF67" si="180">U65*U66</f>
        <v>0</v>
      </c>
      <c r="V67" s="690">
        <f t="shared" si="180"/>
        <v>0</v>
      </c>
      <c r="W67" s="690">
        <f t="shared" si="180"/>
        <v>0</v>
      </c>
      <c r="X67" s="690">
        <f t="shared" si="180"/>
        <v>0</v>
      </c>
      <c r="Y67" s="690">
        <f t="shared" si="180"/>
        <v>0</v>
      </c>
      <c r="Z67" s="690">
        <f t="shared" si="180"/>
        <v>0</v>
      </c>
      <c r="AA67" s="690">
        <f t="shared" si="180"/>
        <v>0</v>
      </c>
      <c r="AB67" s="690">
        <f t="shared" si="180"/>
        <v>0</v>
      </c>
      <c r="AC67" s="690">
        <f t="shared" si="180"/>
        <v>0</v>
      </c>
      <c r="AD67" s="690">
        <f t="shared" si="180"/>
        <v>0</v>
      </c>
      <c r="AE67" s="690">
        <f t="shared" si="180"/>
        <v>0</v>
      </c>
      <c r="AF67" s="690">
        <f t="shared" si="180"/>
        <v>0</v>
      </c>
      <c r="AG67" s="902">
        <f>SUM(U67:AF67)</f>
        <v>0</v>
      </c>
      <c r="AH67" s="902">
        <f t="shared" ref="AH67:AO67" si="181">AH65*AH66</f>
        <v>2000</v>
      </c>
      <c r="AI67" s="902">
        <f t="shared" si="181"/>
        <v>2000</v>
      </c>
      <c r="AJ67" s="902">
        <f t="shared" si="181"/>
        <v>2000</v>
      </c>
      <c r="AK67" s="902">
        <f t="shared" si="181"/>
        <v>2000</v>
      </c>
      <c r="AL67" s="902">
        <f t="shared" si="181"/>
        <v>2000</v>
      </c>
      <c r="AM67" s="902">
        <f t="shared" si="181"/>
        <v>2000</v>
      </c>
      <c r="AN67" s="902">
        <f t="shared" si="181"/>
        <v>2000</v>
      </c>
      <c r="AO67" s="996">
        <f t="shared" si="181"/>
        <v>2000</v>
      </c>
    </row>
    <row r="68" spans="1:42" s="18" customFormat="1" ht="13.15" customHeight="1" x14ac:dyDescent="0.2">
      <c r="A68" s="680" t="s">
        <v>249</v>
      </c>
      <c r="B68" s="680"/>
      <c r="C68" s="685">
        <f t="shared" ref="C68" si="182">C62</f>
        <v>2.5</v>
      </c>
      <c r="D68" s="685">
        <f t="shared" ref="D68:F68" si="183">D62</f>
        <v>2.5</v>
      </c>
      <c r="E68" s="685">
        <f t="shared" si="183"/>
        <v>2.5</v>
      </c>
      <c r="F68" s="685">
        <f t="shared" si="183"/>
        <v>2.5</v>
      </c>
      <c r="G68" s="903">
        <f>F68</f>
        <v>2.5</v>
      </c>
      <c r="H68" s="685">
        <f t="shared" ref="H68:M68" si="184">H62</f>
        <v>2.5</v>
      </c>
      <c r="I68" s="685">
        <f t="shared" si="184"/>
        <v>2.5</v>
      </c>
      <c r="J68" s="685">
        <f t="shared" si="184"/>
        <v>2.5</v>
      </c>
      <c r="K68" s="685">
        <f t="shared" si="184"/>
        <v>2.5</v>
      </c>
      <c r="L68" s="685">
        <f t="shared" si="184"/>
        <v>2.5</v>
      </c>
      <c r="M68" s="685">
        <f t="shared" si="184"/>
        <v>2.5</v>
      </c>
      <c r="N68" s="685">
        <f t="shared" ref="N68:AO68" si="185">N62</f>
        <v>2.5</v>
      </c>
      <c r="O68" s="685">
        <f t="shared" si="185"/>
        <v>2.5</v>
      </c>
      <c r="P68" s="685">
        <f t="shared" si="185"/>
        <v>2.5</v>
      </c>
      <c r="Q68" s="685">
        <f t="shared" si="185"/>
        <v>2.5</v>
      </c>
      <c r="R68" s="685">
        <f t="shared" si="185"/>
        <v>2.5</v>
      </c>
      <c r="S68" s="685">
        <f t="shared" si="185"/>
        <v>2.5</v>
      </c>
      <c r="T68" s="903">
        <f t="shared" si="185"/>
        <v>2.5</v>
      </c>
      <c r="U68" s="685">
        <f t="shared" si="185"/>
        <v>2.5</v>
      </c>
      <c r="V68" s="685">
        <f t="shared" si="185"/>
        <v>2.5</v>
      </c>
      <c r="W68" s="685">
        <f t="shared" si="185"/>
        <v>2.5</v>
      </c>
      <c r="X68" s="685">
        <f t="shared" si="185"/>
        <v>2.5</v>
      </c>
      <c r="Y68" s="685">
        <f t="shared" si="185"/>
        <v>2.5</v>
      </c>
      <c r="Z68" s="685">
        <f t="shared" si="185"/>
        <v>2.5</v>
      </c>
      <c r="AA68" s="685">
        <f t="shared" si="185"/>
        <v>2.5</v>
      </c>
      <c r="AB68" s="685">
        <f t="shared" si="185"/>
        <v>2.5</v>
      </c>
      <c r="AC68" s="685">
        <f t="shared" si="185"/>
        <v>2.5</v>
      </c>
      <c r="AD68" s="685">
        <f t="shared" si="185"/>
        <v>2.5</v>
      </c>
      <c r="AE68" s="685">
        <f t="shared" si="185"/>
        <v>2.5</v>
      </c>
      <c r="AF68" s="685">
        <f t="shared" si="185"/>
        <v>2.5</v>
      </c>
      <c r="AG68" s="903">
        <f t="shared" si="185"/>
        <v>2.5</v>
      </c>
      <c r="AH68" s="903">
        <f t="shared" si="185"/>
        <v>2.5</v>
      </c>
      <c r="AI68" s="903">
        <f t="shared" si="185"/>
        <v>2.5</v>
      </c>
      <c r="AJ68" s="903">
        <f t="shared" si="185"/>
        <v>2.5</v>
      </c>
      <c r="AK68" s="903">
        <f t="shared" si="185"/>
        <v>2.5</v>
      </c>
      <c r="AL68" s="903">
        <f t="shared" si="185"/>
        <v>2.5</v>
      </c>
      <c r="AM68" s="903">
        <f t="shared" si="185"/>
        <v>2.5</v>
      </c>
      <c r="AN68" s="903">
        <f t="shared" si="185"/>
        <v>2.5</v>
      </c>
      <c r="AO68" s="1005">
        <f t="shared" si="185"/>
        <v>2.5</v>
      </c>
    </row>
    <row r="69" spans="1:42" s="18" customFormat="1" ht="13.15" customHeight="1" x14ac:dyDescent="0.2">
      <c r="A69" s="680" t="s">
        <v>255</v>
      </c>
      <c r="B69" s="680"/>
      <c r="C69" s="690">
        <f t="shared" ref="C69" si="186">C67*C68</f>
        <v>0</v>
      </c>
      <c r="D69" s="690">
        <f t="shared" ref="D69:F69" si="187">D67*D68</f>
        <v>0</v>
      </c>
      <c r="E69" s="690">
        <f t="shared" si="187"/>
        <v>0</v>
      </c>
      <c r="F69" s="690">
        <f t="shared" si="187"/>
        <v>0</v>
      </c>
      <c r="G69" s="902">
        <f>SUM(C69:F69)</f>
        <v>0</v>
      </c>
      <c r="H69" s="690">
        <f t="shared" ref="H69:M69" si="188">H67*H68</f>
        <v>0</v>
      </c>
      <c r="I69" s="690">
        <f t="shared" si="188"/>
        <v>0</v>
      </c>
      <c r="J69" s="690">
        <f t="shared" si="188"/>
        <v>0</v>
      </c>
      <c r="K69" s="690">
        <f t="shared" si="188"/>
        <v>0</v>
      </c>
      <c r="L69" s="690">
        <f t="shared" si="188"/>
        <v>0</v>
      </c>
      <c r="M69" s="690">
        <f t="shared" si="188"/>
        <v>0</v>
      </c>
      <c r="N69" s="690">
        <f t="shared" ref="N69:S69" si="189">N67*N68</f>
        <v>0</v>
      </c>
      <c r="O69" s="690">
        <f t="shared" si="189"/>
        <v>0</v>
      </c>
      <c r="P69" s="690">
        <f t="shared" si="189"/>
        <v>0</v>
      </c>
      <c r="Q69" s="690">
        <f t="shared" si="189"/>
        <v>0</v>
      </c>
      <c r="R69" s="690">
        <f t="shared" si="189"/>
        <v>0</v>
      </c>
      <c r="S69" s="690">
        <f t="shared" si="189"/>
        <v>0</v>
      </c>
      <c r="T69" s="918">
        <f>SUM(H69:S69)</f>
        <v>0</v>
      </c>
      <c r="U69" s="690">
        <f t="shared" ref="U69:AF69" si="190">U67*U68</f>
        <v>0</v>
      </c>
      <c r="V69" s="690">
        <f t="shared" si="190"/>
        <v>0</v>
      </c>
      <c r="W69" s="690">
        <f t="shared" si="190"/>
        <v>0</v>
      </c>
      <c r="X69" s="690">
        <f t="shared" si="190"/>
        <v>0</v>
      </c>
      <c r="Y69" s="690">
        <f t="shared" si="190"/>
        <v>0</v>
      </c>
      <c r="Z69" s="690">
        <f t="shared" si="190"/>
        <v>0</v>
      </c>
      <c r="AA69" s="690">
        <f t="shared" si="190"/>
        <v>0</v>
      </c>
      <c r="AB69" s="690">
        <f t="shared" si="190"/>
        <v>0</v>
      </c>
      <c r="AC69" s="690">
        <f t="shared" si="190"/>
        <v>0</v>
      </c>
      <c r="AD69" s="690">
        <f t="shared" si="190"/>
        <v>0</v>
      </c>
      <c r="AE69" s="690">
        <f t="shared" si="190"/>
        <v>0</v>
      </c>
      <c r="AF69" s="690">
        <f t="shared" si="190"/>
        <v>0</v>
      </c>
      <c r="AG69" s="918">
        <f>SUM(U69:AF69)</f>
        <v>0</v>
      </c>
      <c r="AH69" s="902">
        <f t="shared" ref="AH69:AO69" si="191">AH67*AH68</f>
        <v>5000</v>
      </c>
      <c r="AI69" s="902">
        <f t="shared" si="191"/>
        <v>5000</v>
      </c>
      <c r="AJ69" s="902">
        <f t="shared" si="191"/>
        <v>5000</v>
      </c>
      <c r="AK69" s="902">
        <f t="shared" si="191"/>
        <v>5000</v>
      </c>
      <c r="AL69" s="902">
        <f t="shared" si="191"/>
        <v>5000</v>
      </c>
      <c r="AM69" s="902">
        <f t="shared" si="191"/>
        <v>5000</v>
      </c>
      <c r="AN69" s="902">
        <f t="shared" si="191"/>
        <v>5000</v>
      </c>
      <c r="AO69" s="996">
        <f t="shared" si="191"/>
        <v>5000</v>
      </c>
    </row>
    <row r="70" spans="1:42" s="18" customFormat="1" ht="13.15" customHeight="1" x14ac:dyDescent="0.2">
      <c r="A70" s="674"/>
      <c r="B70" s="674"/>
      <c r="C70" s="682"/>
      <c r="D70" s="682"/>
      <c r="E70" s="682"/>
      <c r="F70" s="682"/>
      <c r="G70" s="900"/>
      <c r="H70" s="682"/>
      <c r="I70" s="682"/>
      <c r="J70" s="682"/>
      <c r="K70" s="682"/>
      <c r="L70" s="682"/>
      <c r="M70" s="682"/>
      <c r="N70" s="682"/>
      <c r="O70" s="682"/>
      <c r="P70" s="682"/>
      <c r="Q70" s="682"/>
      <c r="R70" s="682"/>
      <c r="S70" s="682"/>
      <c r="T70" s="917"/>
      <c r="U70" s="682"/>
      <c r="V70" s="682"/>
      <c r="W70" s="682"/>
      <c r="X70" s="682"/>
      <c r="Y70" s="682"/>
      <c r="Z70" s="682"/>
      <c r="AA70" s="682"/>
      <c r="AB70" s="682"/>
      <c r="AC70" s="682"/>
      <c r="AD70" s="682"/>
      <c r="AE70" s="682"/>
      <c r="AF70" s="682"/>
      <c r="AG70" s="917"/>
      <c r="AH70" s="917"/>
      <c r="AI70" s="917"/>
      <c r="AJ70" s="917"/>
      <c r="AK70" s="924"/>
      <c r="AL70" s="924"/>
      <c r="AM70" s="924"/>
      <c r="AN70" s="924"/>
      <c r="AO70" s="995"/>
    </row>
    <row r="71" spans="1:42" s="18" customFormat="1" ht="13.15" customHeight="1" x14ac:dyDescent="0.2">
      <c r="A71" s="680" t="s">
        <v>256</v>
      </c>
      <c r="B71" s="680"/>
      <c r="C71" s="689">
        <v>0</v>
      </c>
      <c r="D71" s="689">
        <v>0</v>
      </c>
      <c r="E71" s="689">
        <v>0</v>
      </c>
      <c r="F71" s="689">
        <v>0</v>
      </c>
      <c r="G71" s="902">
        <f>F71</f>
        <v>0</v>
      </c>
      <c r="H71" s="689">
        <v>0</v>
      </c>
      <c r="I71" s="689">
        <v>0</v>
      </c>
      <c r="J71" s="689">
        <v>0</v>
      </c>
      <c r="K71" s="689">
        <v>0</v>
      </c>
      <c r="L71" s="689">
        <v>0</v>
      </c>
      <c r="M71" s="689">
        <v>0</v>
      </c>
      <c r="N71" s="689">
        <v>0</v>
      </c>
      <c r="O71" s="689">
        <v>0</v>
      </c>
      <c r="P71" s="689">
        <v>0</v>
      </c>
      <c r="Q71" s="689">
        <v>0</v>
      </c>
      <c r="R71" s="689">
        <v>0</v>
      </c>
      <c r="S71" s="689">
        <v>0</v>
      </c>
      <c r="T71" s="902">
        <f>S71</f>
        <v>0</v>
      </c>
      <c r="U71" s="689">
        <v>0</v>
      </c>
      <c r="V71" s="689">
        <v>0</v>
      </c>
      <c r="W71" s="689">
        <v>0</v>
      </c>
      <c r="X71" s="689">
        <v>0</v>
      </c>
      <c r="Y71" s="689">
        <v>0</v>
      </c>
      <c r="Z71" s="689">
        <v>0</v>
      </c>
      <c r="AA71" s="689">
        <v>0</v>
      </c>
      <c r="AB71" s="689">
        <v>0</v>
      </c>
      <c r="AC71" s="689">
        <v>0</v>
      </c>
      <c r="AD71" s="689">
        <v>0</v>
      </c>
      <c r="AE71" s="689">
        <v>0</v>
      </c>
      <c r="AF71" s="689">
        <v>0</v>
      </c>
      <c r="AG71" s="902">
        <f>AF71</f>
        <v>0</v>
      </c>
      <c r="AH71" s="899">
        <v>0</v>
      </c>
      <c r="AI71" s="899">
        <v>0</v>
      </c>
      <c r="AJ71" s="899">
        <v>0</v>
      </c>
      <c r="AK71" s="899">
        <v>0</v>
      </c>
      <c r="AL71" s="899">
        <v>0</v>
      </c>
      <c r="AM71" s="899">
        <v>0</v>
      </c>
      <c r="AN71" s="899">
        <v>0</v>
      </c>
      <c r="AO71" s="1000">
        <v>0</v>
      </c>
    </row>
    <row r="72" spans="1:42" s="18" customFormat="1" ht="13.15" customHeight="1" x14ac:dyDescent="0.2">
      <c r="A72" s="680" t="s">
        <v>252</v>
      </c>
      <c r="B72" s="680"/>
      <c r="C72" s="689">
        <v>0</v>
      </c>
      <c r="D72" s="689">
        <v>0</v>
      </c>
      <c r="E72" s="689">
        <v>0</v>
      </c>
      <c r="F72" s="689">
        <v>0</v>
      </c>
      <c r="G72" s="902">
        <f>SUM(C72:F72)</f>
        <v>0</v>
      </c>
      <c r="H72" s="689">
        <v>0</v>
      </c>
      <c r="I72" s="689">
        <v>0</v>
      </c>
      <c r="J72" s="689">
        <v>0</v>
      </c>
      <c r="K72" s="689">
        <v>0</v>
      </c>
      <c r="L72" s="689">
        <v>0</v>
      </c>
      <c r="M72" s="689">
        <v>0</v>
      </c>
      <c r="N72" s="689">
        <v>0</v>
      </c>
      <c r="O72" s="689">
        <v>0</v>
      </c>
      <c r="P72" s="689">
        <v>0</v>
      </c>
      <c r="Q72" s="689">
        <v>0</v>
      </c>
      <c r="R72" s="689">
        <v>0</v>
      </c>
      <c r="S72" s="689">
        <v>0</v>
      </c>
      <c r="T72" s="917">
        <f>SUM(H72:S72)</f>
        <v>0</v>
      </c>
      <c r="U72" s="689">
        <f>300/12</f>
        <v>25</v>
      </c>
      <c r="V72" s="689">
        <f t="shared" ref="V72:AF72" si="192">300/12</f>
        <v>25</v>
      </c>
      <c r="W72" s="689">
        <f t="shared" si="192"/>
        <v>25</v>
      </c>
      <c r="X72" s="689">
        <f t="shared" si="192"/>
        <v>25</v>
      </c>
      <c r="Y72" s="689">
        <f t="shared" si="192"/>
        <v>25</v>
      </c>
      <c r="Z72" s="689">
        <f t="shared" si="192"/>
        <v>25</v>
      </c>
      <c r="AA72" s="689">
        <f t="shared" si="192"/>
        <v>25</v>
      </c>
      <c r="AB72" s="689">
        <f t="shared" si="192"/>
        <v>25</v>
      </c>
      <c r="AC72" s="689">
        <f t="shared" si="192"/>
        <v>25</v>
      </c>
      <c r="AD72" s="689">
        <f t="shared" si="192"/>
        <v>25</v>
      </c>
      <c r="AE72" s="689">
        <f t="shared" si="192"/>
        <v>25</v>
      </c>
      <c r="AF72" s="689">
        <f t="shared" si="192"/>
        <v>25</v>
      </c>
      <c r="AG72" s="917">
        <f>SUM(U72:AF72)</f>
        <v>300</v>
      </c>
      <c r="AH72" s="899">
        <v>300</v>
      </c>
      <c r="AI72" s="899">
        <v>300</v>
      </c>
      <c r="AJ72" s="899">
        <v>300</v>
      </c>
      <c r="AK72" s="899">
        <v>300</v>
      </c>
      <c r="AL72" s="899">
        <v>300</v>
      </c>
      <c r="AM72" s="899">
        <v>300</v>
      </c>
      <c r="AN72" s="899">
        <v>300</v>
      </c>
      <c r="AO72" s="1000">
        <v>300</v>
      </c>
    </row>
    <row r="73" spans="1:42" s="18" customFormat="1" ht="13.15" customHeight="1" x14ac:dyDescent="0.2">
      <c r="A73" s="680" t="s">
        <v>254</v>
      </c>
      <c r="B73" s="680"/>
      <c r="C73" s="690">
        <f t="shared" ref="C73" si="193">C71*C72</f>
        <v>0</v>
      </c>
      <c r="D73" s="690">
        <f t="shared" ref="D73:F73" si="194">D71*D72</f>
        <v>0</v>
      </c>
      <c r="E73" s="690">
        <f t="shared" si="194"/>
        <v>0</v>
      </c>
      <c r="F73" s="690">
        <f t="shared" si="194"/>
        <v>0</v>
      </c>
      <c r="G73" s="902">
        <f>SUM(C73:F73)</f>
        <v>0</v>
      </c>
      <c r="H73" s="690">
        <f t="shared" ref="H73:M73" si="195">H71*H72</f>
        <v>0</v>
      </c>
      <c r="I73" s="690">
        <f t="shared" si="195"/>
        <v>0</v>
      </c>
      <c r="J73" s="690">
        <f t="shared" si="195"/>
        <v>0</v>
      </c>
      <c r="K73" s="690">
        <f t="shared" si="195"/>
        <v>0</v>
      </c>
      <c r="L73" s="690">
        <f t="shared" si="195"/>
        <v>0</v>
      </c>
      <c r="M73" s="690">
        <f t="shared" si="195"/>
        <v>0</v>
      </c>
      <c r="N73" s="690">
        <f t="shared" ref="N73:S73" si="196">N71*N72</f>
        <v>0</v>
      </c>
      <c r="O73" s="690">
        <f t="shared" si="196"/>
        <v>0</v>
      </c>
      <c r="P73" s="690">
        <f t="shared" si="196"/>
        <v>0</v>
      </c>
      <c r="Q73" s="690">
        <f t="shared" si="196"/>
        <v>0</v>
      </c>
      <c r="R73" s="690">
        <f t="shared" si="196"/>
        <v>0</v>
      </c>
      <c r="S73" s="690">
        <f t="shared" si="196"/>
        <v>0</v>
      </c>
      <c r="T73" s="917">
        <f>SUM(H73:S73)</f>
        <v>0</v>
      </c>
      <c r="U73" s="690">
        <f t="shared" ref="U73:AF73" si="197">U71*U72</f>
        <v>0</v>
      </c>
      <c r="V73" s="690">
        <f t="shared" si="197"/>
        <v>0</v>
      </c>
      <c r="W73" s="690">
        <f t="shared" si="197"/>
        <v>0</v>
      </c>
      <c r="X73" s="690">
        <f t="shared" si="197"/>
        <v>0</v>
      </c>
      <c r="Y73" s="690">
        <f t="shared" si="197"/>
        <v>0</v>
      </c>
      <c r="Z73" s="690">
        <f t="shared" si="197"/>
        <v>0</v>
      </c>
      <c r="AA73" s="690">
        <f t="shared" si="197"/>
        <v>0</v>
      </c>
      <c r="AB73" s="690">
        <f t="shared" si="197"/>
        <v>0</v>
      </c>
      <c r="AC73" s="690">
        <f t="shared" si="197"/>
        <v>0</v>
      </c>
      <c r="AD73" s="690">
        <f t="shared" si="197"/>
        <v>0</v>
      </c>
      <c r="AE73" s="690">
        <f t="shared" si="197"/>
        <v>0</v>
      </c>
      <c r="AF73" s="690">
        <f t="shared" si="197"/>
        <v>0</v>
      </c>
      <c r="AG73" s="917">
        <f>SUM(U73:AF73)</f>
        <v>0</v>
      </c>
      <c r="AH73" s="902">
        <f t="shared" ref="AH73:AO73" si="198">AH71*AH72</f>
        <v>0</v>
      </c>
      <c r="AI73" s="902">
        <f t="shared" si="198"/>
        <v>0</v>
      </c>
      <c r="AJ73" s="902">
        <f t="shared" si="198"/>
        <v>0</v>
      </c>
      <c r="AK73" s="902">
        <f t="shared" si="198"/>
        <v>0</v>
      </c>
      <c r="AL73" s="902">
        <f t="shared" si="198"/>
        <v>0</v>
      </c>
      <c r="AM73" s="902">
        <f t="shared" si="198"/>
        <v>0</v>
      </c>
      <c r="AN73" s="902">
        <f t="shared" si="198"/>
        <v>0</v>
      </c>
      <c r="AO73" s="996">
        <f t="shared" si="198"/>
        <v>0</v>
      </c>
    </row>
    <row r="74" spans="1:42" s="18" customFormat="1" ht="13.15" customHeight="1" x14ac:dyDescent="0.2">
      <c r="A74" s="680" t="s">
        <v>249</v>
      </c>
      <c r="B74" s="680"/>
      <c r="C74" s="685">
        <f t="shared" ref="C74" si="199">C62</f>
        <v>2.5</v>
      </c>
      <c r="D74" s="685">
        <f t="shared" ref="D74:F74" si="200">D62</f>
        <v>2.5</v>
      </c>
      <c r="E74" s="685">
        <f t="shared" si="200"/>
        <v>2.5</v>
      </c>
      <c r="F74" s="685">
        <f t="shared" si="200"/>
        <v>2.5</v>
      </c>
      <c r="G74" s="903">
        <f>F74</f>
        <v>2.5</v>
      </c>
      <c r="H74" s="685">
        <f t="shared" ref="H74:M74" si="201">H62</f>
        <v>2.5</v>
      </c>
      <c r="I74" s="685">
        <f t="shared" si="201"/>
        <v>2.5</v>
      </c>
      <c r="J74" s="685">
        <f t="shared" si="201"/>
        <v>2.5</v>
      </c>
      <c r="K74" s="685">
        <f t="shared" si="201"/>
        <v>2.5</v>
      </c>
      <c r="L74" s="685">
        <f t="shared" si="201"/>
        <v>2.5</v>
      </c>
      <c r="M74" s="685">
        <f t="shared" si="201"/>
        <v>2.5</v>
      </c>
      <c r="N74" s="685">
        <f t="shared" ref="N74:AO74" si="202">N62</f>
        <v>2.5</v>
      </c>
      <c r="O74" s="685">
        <f t="shared" si="202"/>
        <v>2.5</v>
      </c>
      <c r="P74" s="685">
        <f t="shared" si="202"/>
        <v>2.5</v>
      </c>
      <c r="Q74" s="685">
        <f t="shared" si="202"/>
        <v>2.5</v>
      </c>
      <c r="R74" s="685">
        <f t="shared" si="202"/>
        <v>2.5</v>
      </c>
      <c r="S74" s="685">
        <f t="shared" si="202"/>
        <v>2.5</v>
      </c>
      <c r="T74" s="903">
        <f t="shared" si="202"/>
        <v>2.5</v>
      </c>
      <c r="U74" s="685">
        <f t="shared" si="202"/>
        <v>2.5</v>
      </c>
      <c r="V74" s="685">
        <f t="shared" si="202"/>
        <v>2.5</v>
      </c>
      <c r="W74" s="685">
        <f t="shared" si="202"/>
        <v>2.5</v>
      </c>
      <c r="X74" s="685">
        <f t="shared" si="202"/>
        <v>2.5</v>
      </c>
      <c r="Y74" s="685">
        <f t="shared" si="202"/>
        <v>2.5</v>
      </c>
      <c r="Z74" s="685">
        <f t="shared" si="202"/>
        <v>2.5</v>
      </c>
      <c r="AA74" s="685">
        <f t="shared" si="202"/>
        <v>2.5</v>
      </c>
      <c r="AB74" s="685">
        <f t="shared" si="202"/>
        <v>2.5</v>
      </c>
      <c r="AC74" s="685">
        <f t="shared" si="202"/>
        <v>2.5</v>
      </c>
      <c r="AD74" s="685">
        <f t="shared" si="202"/>
        <v>2.5</v>
      </c>
      <c r="AE74" s="685">
        <f t="shared" si="202"/>
        <v>2.5</v>
      </c>
      <c r="AF74" s="685">
        <f t="shared" si="202"/>
        <v>2.5</v>
      </c>
      <c r="AG74" s="903">
        <f t="shared" si="202"/>
        <v>2.5</v>
      </c>
      <c r="AH74" s="903">
        <f t="shared" si="202"/>
        <v>2.5</v>
      </c>
      <c r="AI74" s="903">
        <f t="shared" si="202"/>
        <v>2.5</v>
      </c>
      <c r="AJ74" s="903">
        <f t="shared" si="202"/>
        <v>2.5</v>
      </c>
      <c r="AK74" s="903">
        <f t="shared" si="202"/>
        <v>2.5</v>
      </c>
      <c r="AL74" s="903">
        <f t="shared" si="202"/>
        <v>2.5</v>
      </c>
      <c r="AM74" s="903">
        <f t="shared" si="202"/>
        <v>2.5</v>
      </c>
      <c r="AN74" s="903">
        <f t="shared" si="202"/>
        <v>2.5</v>
      </c>
      <c r="AO74" s="1005">
        <f t="shared" si="202"/>
        <v>2.5</v>
      </c>
    </row>
    <row r="75" spans="1:42" s="18" customFormat="1" ht="13.15" customHeight="1" x14ac:dyDescent="0.2">
      <c r="A75" s="680" t="s">
        <v>255</v>
      </c>
      <c r="B75" s="680"/>
      <c r="C75" s="690">
        <f t="shared" ref="C75" si="203">C73*C74</f>
        <v>0</v>
      </c>
      <c r="D75" s="690">
        <f t="shared" ref="D75:F75" si="204">D73*D74</f>
        <v>0</v>
      </c>
      <c r="E75" s="690">
        <f t="shared" si="204"/>
        <v>0</v>
      </c>
      <c r="F75" s="690">
        <f t="shared" si="204"/>
        <v>0</v>
      </c>
      <c r="G75" s="902">
        <f>SUM(C75:F75)</f>
        <v>0</v>
      </c>
      <c r="H75" s="690">
        <f t="shared" ref="H75:M75" si="205">H73*H74</f>
        <v>0</v>
      </c>
      <c r="I75" s="690">
        <f t="shared" si="205"/>
        <v>0</v>
      </c>
      <c r="J75" s="690">
        <f t="shared" si="205"/>
        <v>0</v>
      </c>
      <c r="K75" s="690">
        <f t="shared" si="205"/>
        <v>0</v>
      </c>
      <c r="L75" s="690">
        <f t="shared" si="205"/>
        <v>0</v>
      </c>
      <c r="M75" s="690">
        <f t="shared" si="205"/>
        <v>0</v>
      </c>
      <c r="N75" s="690">
        <f t="shared" ref="N75:S75" si="206">N73*N74</f>
        <v>0</v>
      </c>
      <c r="O75" s="690">
        <f t="shared" si="206"/>
        <v>0</v>
      </c>
      <c r="P75" s="690">
        <f t="shared" si="206"/>
        <v>0</v>
      </c>
      <c r="Q75" s="690">
        <f t="shared" si="206"/>
        <v>0</v>
      </c>
      <c r="R75" s="690">
        <f t="shared" si="206"/>
        <v>0</v>
      </c>
      <c r="S75" s="690">
        <f t="shared" si="206"/>
        <v>0</v>
      </c>
      <c r="T75" s="918">
        <f>SUM(H75:S75)</f>
        <v>0</v>
      </c>
      <c r="U75" s="690">
        <f t="shared" ref="U75:AF75" si="207">U73*U74</f>
        <v>0</v>
      </c>
      <c r="V75" s="690">
        <f t="shared" si="207"/>
        <v>0</v>
      </c>
      <c r="W75" s="690">
        <f t="shared" si="207"/>
        <v>0</v>
      </c>
      <c r="X75" s="690">
        <f t="shared" si="207"/>
        <v>0</v>
      </c>
      <c r="Y75" s="690">
        <f t="shared" si="207"/>
        <v>0</v>
      </c>
      <c r="Z75" s="690">
        <f t="shared" si="207"/>
        <v>0</v>
      </c>
      <c r="AA75" s="690">
        <f t="shared" si="207"/>
        <v>0</v>
      </c>
      <c r="AB75" s="690">
        <f t="shared" si="207"/>
        <v>0</v>
      </c>
      <c r="AC75" s="690">
        <f t="shared" si="207"/>
        <v>0</v>
      </c>
      <c r="AD75" s="690">
        <f t="shared" si="207"/>
        <v>0</v>
      </c>
      <c r="AE75" s="690">
        <f t="shared" si="207"/>
        <v>0</v>
      </c>
      <c r="AF75" s="690">
        <f t="shared" si="207"/>
        <v>0</v>
      </c>
      <c r="AG75" s="918">
        <f>SUM(U75:AF75)</f>
        <v>0</v>
      </c>
      <c r="AH75" s="902">
        <f t="shared" ref="AH75:AO75" si="208">AH73*AH74</f>
        <v>0</v>
      </c>
      <c r="AI75" s="902">
        <f t="shared" si="208"/>
        <v>0</v>
      </c>
      <c r="AJ75" s="902">
        <f t="shared" si="208"/>
        <v>0</v>
      </c>
      <c r="AK75" s="902">
        <f t="shared" si="208"/>
        <v>0</v>
      </c>
      <c r="AL75" s="902">
        <f t="shared" si="208"/>
        <v>0</v>
      </c>
      <c r="AM75" s="902">
        <f t="shared" si="208"/>
        <v>0</v>
      </c>
      <c r="AN75" s="902">
        <f t="shared" si="208"/>
        <v>0</v>
      </c>
      <c r="AO75" s="996">
        <f t="shared" si="208"/>
        <v>0</v>
      </c>
    </row>
    <row r="76" spans="1:42" s="18" customFormat="1" ht="13.15" customHeight="1" x14ac:dyDescent="0.2">
      <c r="A76" s="680"/>
      <c r="B76" s="680"/>
      <c r="C76" s="682"/>
      <c r="D76" s="682"/>
      <c r="E76" s="682"/>
      <c r="F76" s="682"/>
      <c r="G76" s="900"/>
      <c r="H76" s="682"/>
      <c r="I76" s="682"/>
      <c r="J76" s="682"/>
      <c r="K76" s="682"/>
      <c r="L76" s="682"/>
      <c r="M76" s="682"/>
      <c r="N76" s="682"/>
      <c r="O76" s="682"/>
      <c r="P76" s="682"/>
      <c r="Q76" s="682"/>
      <c r="R76" s="682"/>
      <c r="S76" s="682"/>
      <c r="T76" s="917"/>
      <c r="U76" s="682"/>
      <c r="V76" s="682"/>
      <c r="W76" s="682"/>
      <c r="X76" s="682"/>
      <c r="Y76" s="682"/>
      <c r="Z76" s="682"/>
      <c r="AA76" s="682"/>
      <c r="AB76" s="682"/>
      <c r="AC76" s="682"/>
      <c r="AD76" s="682"/>
      <c r="AE76" s="682"/>
      <c r="AF76" s="682"/>
      <c r="AG76" s="917"/>
      <c r="AH76" s="917"/>
      <c r="AI76" s="917"/>
      <c r="AJ76" s="917"/>
      <c r="AK76" s="924"/>
      <c r="AL76" s="924"/>
      <c r="AM76" s="924"/>
      <c r="AN76" s="924"/>
      <c r="AO76" s="995"/>
    </row>
    <row r="77" spans="1:42" s="277" customFormat="1" ht="13.15" customHeight="1" x14ac:dyDescent="0.2">
      <c r="A77" s="676" t="s">
        <v>257</v>
      </c>
      <c r="B77" s="676"/>
      <c r="C77" s="694">
        <f t="shared" ref="C77" si="209">C63+C69+C75</f>
        <v>0</v>
      </c>
      <c r="D77" s="694">
        <f t="shared" ref="D77:F77" si="210">D63+D69+D75</f>
        <v>0</v>
      </c>
      <c r="E77" s="694">
        <f t="shared" si="210"/>
        <v>0</v>
      </c>
      <c r="F77" s="694">
        <f t="shared" si="210"/>
        <v>0</v>
      </c>
      <c r="G77" s="904">
        <f>SUM(C77:F77)</f>
        <v>0</v>
      </c>
      <c r="H77" s="694">
        <f t="shared" ref="H77:M77" si="211">H63+H69+H75</f>
        <v>0</v>
      </c>
      <c r="I77" s="694">
        <f t="shared" si="211"/>
        <v>0</v>
      </c>
      <c r="J77" s="694">
        <f t="shared" si="211"/>
        <v>0</v>
      </c>
      <c r="K77" s="694">
        <f t="shared" si="211"/>
        <v>0</v>
      </c>
      <c r="L77" s="694">
        <f t="shared" si="211"/>
        <v>0</v>
      </c>
      <c r="M77" s="694">
        <f t="shared" si="211"/>
        <v>0</v>
      </c>
      <c r="N77" s="694">
        <f t="shared" ref="N77:S77" si="212">N63+N69+N75</f>
        <v>0</v>
      </c>
      <c r="O77" s="694">
        <f t="shared" si="212"/>
        <v>0</v>
      </c>
      <c r="P77" s="694">
        <f t="shared" si="212"/>
        <v>0</v>
      </c>
      <c r="Q77" s="694">
        <f t="shared" si="212"/>
        <v>0</v>
      </c>
      <c r="R77" s="694">
        <f t="shared" si="212"/>
        <v>0</v>
      </c>
      <c r="S77" s="694">
        <f t="shared" si="212"/>
        <v>0</v>
      </c>
      <c r="T77" s="915">
        <f>SUM(H77:S77)</f>
        <v>0</v>
      </c>
      <c r="U77" s="694">
        <f t="shared" ref="U77:AF77" si="213">U63+U69+U75</f>
        <v>0</v>
      </c>
      <c r="V77" s="694">
        <f t="shared" si="213"/>
        <v>0</v>
      </c>
      <c r="W77" s="694">
        <f t="shared" si="213"/>
        <v>0</v>
      </c>
      <c r="X77" s="694">
        <f t="shared" si="213"/>
        <v>0</v>
      </c>
      <c r="Y77" s="694">
        <f t="shared" si="213"/>
        <v>0</v>
      </c>
      <c r="Z77" s="694">
        <f t="shared" si="213"/>
        <v>0</v>
      </c>
      <c r="AA77" s="694">
        <f t="shared" si="213"/>
        <v>0</v>
      </c>
      <c r="AB77" s="694">
        <f t="shared" si="213"/>
        <v>0</v>
      </c>
      <c r="AC77" s="694">
        <f t="shared" si="213"/>
        <v>0</v>
      </c>
      <c r="AD77" s="694">
        <f t="shared" si="213"/>
        <v>0</v>
      </c>
      <c r="AE77" s="694">
        <f t="shared" si="213"/>
        <v>0</v>
      </c>
      <c r="AF77" s="694">
        <f t="shared" si="213"/>
        <v>0</v>
      </c>
      <c r="AG77" s="904">
        <f>SUM(U77:AF77)</f>
        <v>0</v>
      </c>
      <c r="AH77" s="904">
        <f t="shared" ref="AH77:AO77" si="214">AH63+AH69+AH75</f>
        <v>9823.4375</v>
      </c>
      <c r="AI77" s="904">
        <f t="shared" si="214"/>
        <v>22557.312500000004</v>
      </c>
      <c r="AJ77" s="904">
        <f t="shared" si="214"/>
        <v>43751.496875000004</v>
      </c>
      <c r="AK77" s="904">
        <f t="shared" si="214"/>
        <v>84053.053625000015</v>
      </c>
      <c r="AL77" s="904">
        <f t="shared" si="214"/>
        <v>122103.92343650002</v>
      </c>
      <c r="AM77" s="904">
        <f t="shared" si="214"/>
        <v>143395.54587950002</v>
      </c>
      <c r="AN77" s="904">
        <f t="shared" si="214"/>
        <v>164687.16832249996</v>
      </c>
      <c r="AO77" s="1001">
        <f t="shared" si="214"/>
        <v>185978.79076549999</v>
      </c>
    </row>
    <row r="78" spans="1:42" s="18" customFormat="1" ht="13.15" customHeight="1" x14ac:dyDescent="0.2">
      <c r="A78" s="680"/>
      <c r="B78" s="680"/>
      <c r="C78" s="682"/>
      <c r="D78" s="682"/>
      <c r="E78" s="682"/>
      <c r="F78" s="682"/>
      <c r="G78" s="900"/>
      <c r="H78" s="682"/>
      <c r="I78" s="682"/>
      <c r="J78" s="682"/>
      <c r="K78" s="682"/>
      <c r="L78" s="682"/>
      <c r="M78" s="682"/>
      <c r="N78" s="682"/>
      <c r="O78" s="682"/>
      <c r="P78" s="682"/>
      <c r="Q78" s="682"/>
      <c r="R78" s="682"/>
      <c r="S78" s="682"/>
      <c r="T78" s="917"/>
      <c r="U78" s="682"/>
      <c r="V78" s="682"/>
      <c r="W78" s="682"/>
      <c r="X78" s="682"/>
      <c r="Y78" s="682"/>
      <c r="Z78" s="682"/>
      <c r="AA78" s="682"/>
      <c r="AB78" s="682"/>
      <c r="AC78" s="682"/>
      <c r="AD78" s="682"/>
      <c r="AE78" s="682"/>
      <c r="AF78" s="682"/>
      <c r="AG78" s="917"/>
      <c r="AH78" s="917"/>
      <c r="AI78" s="917"/>
      <c r="AJ78" s="917"/>
      <c r="AK78" s="924"/>
      <c r="AL78" s="924"/>
      <c r="AM78" s="924"/>
      <c r="AN78" s="924"/>
      <c r="AO78" s="995"/>
    </row>
    <row r="79" spans="1:42" s="18" customFormat="1" ht="13.15" customHeight="1" x14ac:dyDescent="0.2">
      <c r="A79" s="680" t="s">
        <v>258</v>
      </c>
      <c r="B79" s="680"/>
      <c r="C79" s="767">
        <f t="shared" ref="C79" si="215">C25</f>
        <v>300</v>
      </c>
      <c r="D79" s="767">
        <f t="shared" ref="D79:F79" si="216">D25</f>
        <v>300</v>
      </c>
      <c r="E79" s="767">
        <f t="shared" si="216"/>
        <v>300</v>
      </c>
      <c r="F79" s="767">
        <f t="shared" si="216"/>
        <v>300</v>
      </c>
      <c r="G79" s="905">
        <f>F79</f>
        <v>300</v>
      </c>
      <c r="H79" s="767">
        <f t="shared" ref="H79:M79" si="217">H25</f>
        <v>300</v>
      </c>
      <c r="I79" s="767">
        <f t="shared" si="217"/>
        <v>300</v>
      </c>
      <c r="J79" s="767">
        <f t="shared" si="217"/>
        <v>300</v>
      </c>
      <c r="K79" s="767">
        <f t="shared" si="217"/>
        <v>300</v>
      </c>
      <c r="L79" s="767">
        <f t="shared" si="217"/>
        <v>300</v>
      </c>
      <c r="M79" s="767">
        <f t="shared" si="217"/>
        <v>300</v>
      </c>
      <c r="N79" s="767">
        <f t="shared" ref="N79:AO79" si="218">N25</f>
        <v>300</v>
      </c>
      <c r="O79" s="767">
        <f t="shared" si="218"/>
        <v>300</v>
      </c>
      <c r="P79" s="767">
        <f t="shared" si="218"/>
        <v>300</v>
      </c>
      <c r="Q79" s="767">
        <f t="shared" si="218"/>
        <v>300</v>
      </c>
      <c r="R79" s="767">
        <f t="shared" si="218"/>
        <v>300</v>
      </c>
      <c r="S79" s="767">
        <f t="shared" si="218"/>
        <v>300</v>
      </c>
      <c r="T79" s="905">
        <f t="shared" si="218"/>
        <v>300</v>
      </c>
      <c r="U79" s="767">
        <f t="shared" si="218"/>
        <v>300</v>
      </c>
      <c r="V79" s="767">
        <f t="shared" si="218"/>
        <v>300</v>
      </c>
      <c r="W79" s="767">
        <f t="shared" si="218"/>
        <v>300</v>
      </c>
      <c r="X79" s="767">
        <f t="shared" si="218"/>
        <v>300</v>
      </c>
      <c r="Y79" s="767">
        <f t="shared" si="218"/>
        <v>300</v>
      </c>
      <c r="Z79" s="767">
        <f t="shared" si="218"/>
        <v>300</v>
      </c>
      <c r="AA79" s="767">
        <f t="shared" si="218"/>
        <v>300</v>
      </c>
      <c r="AB79" s="767">
        <f t="shared" si="218"/>
        <v>300</v>
      </c>
      <c r="AC79" s="767">
        <f t="shared" si="218"/>
        <v>300</v>
      </c>
      <c r="AD79" s="767">
        <f t="shared" si="218"/>
        <v>300</v>
      </c>
      <c r="AE79" s="767">
        <f t="shared" si="218"/>
        <v>300</v>
      </c>
      <c r="AF79" s="767">
        <f t="shared" si="218"/>
        <v>300</v>
      </c>
      <c r="AG79" s="905">
        <f t="shared" si="218"/>
        <v>300</v>
      </c>
      <c r="AH79" s="905">
        <f t="shared" si="218"/>
        <v>300</v>
      </c>
      <c r="AI79" s="905">
        <f t="shared" si="218"/>
        <v>300</v>
      </c>
      <c r="AJ79" s="905">
        <f t="shared" si="218"/>
        <v>300</v>
      </c>
      <c r="AK79" s="905">
        <f t="shared" si="218"/>
        <v>300</v>
      </c>
      <c r="AL79" s="905">
        <f t="shared" si="218"/>
        <v>300</v>
      </c>
      <c r="AM79" s="905">
        <f t="shared" si="218"/>
        <v>300</v>
      </c>
      <c r="AN79" s="905">
        <f t="shared" si="218"/>
        <v>300</v>
      </c>
      <c r="AO79" s="1002">
        <f t="shared" si="218"/>
        <v>300</v>
      </c>
      <c r="AP79" s="988"/>
    </row>
    <row r="80" spans="1:42" s="18" customFormat="1" ht="13.15" customHeight="1" x14ac:dyDescent="0.2">
      <c r="A80" s="680"/>
      <c r="B80" s="680"/>
      <c r="C80" s="682"/>
      <c r="D80" s="682"/>
      <c r="E80" s="682"/>
      <c r="F80" s="682"/>
      <c r="G80" s="900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917"/>
      <c r="U80" s="682"/>
      <c r="V80" s="682"/>
      <c r="W80" s="682"/>
      <c r="X80" s="682"/>
      <c r="Y80" s="682"/>
      <c r="Z80" s="682"/>
      <c r="AA80" s="682"/>
      <c r="AB80" s="682"/>
      <c r="AC80" s="682"/>
      <c r="AD80" s="682"/>
      <c r="AE80" s="682"/>
      <c r="AF80" s="682"/>
      <c r="AG80" s="917"/>
      <c r="AH80" s="917"/>
      <c r="AI80" s="917"/>
      <c r="AJ80" s="917"/>
      <c r="AK80" s="924"/>
      <c r="AL80" s="924"/>
      <c r="AM80" s="924"/>
      <c r="AN80" s="924"/>
      <c r="AO80" s="995"/>
    </row>
    <row r="81" spans="1:42" s="794" customFormat="1" ht="13.15" customHeight="1" x14ac:dyDescent="0.2">
      <c r="A81" s="763" t="s">
        <v>322</v>
      </c>
      <c r="B81" s="763"/>
      <c r="C81" s="765">
        <f t="shared" ref="C81" si="219">C77*C79</f>
        <v>0</v>
      </c>
      <c r="D81" s="765">
        <f t="shared" ref="D81:F81" si="220">D77*D79</f>
        <v>0</v>
      </c>
      <c r="E81" s="765">
        <f t="shared" si="220"/>
        <v>0</v>
      </c>
      <c r="F81" s="765">
        <f t="shared" si="220"/>
        <v>0</v>
      </c>
      <c r="G81" s="906">
        <f>SUM(C81:F81)</f>
        <v>0</v>
      </c>
      <c r="H81" s="765">
        <f t="shared" ref="H81:M81" si="221">H77*H79</f>
        <v>0</v>
      </c>
      <c r="I81" s="765">
        <f t="shared" si="221"/>
        <v>0</v>
      </c>
      <c r="J81" s="765">
        <f t="shared" si="221"/>
        <v>0</v>
      </c>
      <c r="K81" s="765">
        <f t="shared" si="221"/>
        <v>0</v>
      </c>
      <c r="L81" s="765">
        <f t="shared" si="221"/>
        <v>0</v>
      </c>
      <c r="M81" s="765">
        <f t="shared" si="221"/>
        <v>0</v>
      </c>
      <c r="N81" s="765">
        <f t="shared" ref="N81:S81" si="222">N77*N79</f>
        <v>0</v>
      </c>
      <c r="O81" s="765">
        <f t="shared" si="222"/>
        <v>0</v>
      </c>
      <c r="P81" s="765">
        <f t="shared" si="222"/>
        <v>0</v>
      </c>
      <c r="Q81" s="765">
        <f t="shared" si="222"/>
        <v>0</v>
      </c>
      <c r="R81" s="765">
        <f t="shared" si="222"/>
        <v>0</v>
      </c>
      <c r="S81" s="765">
        <f t="shared" si="222"/>
        <v>0</v>
      </c>
      <c r="T81" s="906">
        <f>SUM(H81:S81)</f>
        <v>0</v>
      </c>
      <c r="U81" s="765">
        <f>U77*U79</f>
        <v>0</v>
      </c>
      <c r="V81" s="765">
        <f t="shared" ref="V81:AF81" si="223">V77*V79</f>
        <v>0</v>
      </c>
      <c r="W81" s="765">
        <f t="shared" si="223"/>
        <v>0</v>
      </c>
      <c r="X81" s="765">
        <f t="shared" si="223"/>
        <v>0</v>
      </c>
      <c r="Y81" s="765">
        <f t="shared" si="223"/>
        <v>0</v>
      </c>
      <c r="Z81" s="765">
        <f t="shared" si="223"/>
        <v>0</v>
      </c>
      <c r="AA81" s="765">
        <f t="shared" si="223"/>
        <v>0</v>
      </c>
      <c r="AB81" s="765">
        <f t="shared" si="223"/>
        <v>0</v>
      </c>
      <c r="AC81" s="765">
        <f t="shared" si="223"/>
        <v>0</v>
      </c>
      <c r="AD81" s="765">
        <f t="shared" si="223"/>
        <v>0</v>
      </c>
      <c r="AE81" s="765">
        <f t="shared" si="223"/>
        <v>0</v>
      </c>
      <c r="AF81" s="765">
        <f t="shared" si="223"/>
        <v>0</v>
      </c>
      <c r="AG81" s="906">
        <f>SUM(U81:AF81)</f>
        <v>0</v>
      </c>
      <c r="AH81" s="906">
        <f t="shared" ref="AH81:AO81" si="224">AH77*AH79</f>
        <v>2947031.25</v>
      </c>
      <c r="AI81" s="906">
        <f t="shared" si="224"/>
        <v>6767193.7500000009</v>
      </c>
      <c r="AJ81" s="906">
        <f t="shared" si="224"/>
        <v>13125449.062500002</v>
      </c>
      <c r="AK81" s="906">
        <f t="shared" si="224"/>
        <v>25215916.087500006</v>
      </c>
      <c r="AL81" s="906">
        <f t="shared" si="224"/>
        <v>36631177.030950002</v>
      </c>
      <c r="AM81" s="906">
        <f t="shared" si="224"/>
        <v>43018663.763850003</v>
      </c>
      <c r="AN81" s="906">
        <f t="shared" si="224"/>
        <v>49406150.49674999</v>
      </c>
      <c r="AO81" s="1003">
        <f t="shared" si="224"/>
        <v>55793637.229649998</v>
      </c>
      <c r="AP81" s="277"/>
    </row>
    <row r="82" spans="1:42" s="18" customFormat="1" ht="13.15" customHeight="1" x14ac:dyDescent="0.2">
      <c r="A82" s="680"/>
      <c r="B82" s="680"/>
      <c r="C82" s="680"/>
      <c r="D82" s="680"/>
      <c r="E82" s="680"/>
      <c r="F82" s="680"/>
      <c r="G82" s="900"/>
      <c r="H82" s="682"/>
      <c r="I82" s="682"/>
      <c r="J82" s="682"/>
      <c r="K82" s="682"/>
      <c r="L82" s="682"/>
      <c r="M82" s="682"/>
      <c r="N82" s="682"/>
      <c r="O82" s="682"/>
      <c r="P82" s="682"/>
      <c r="Q82" s="682"/>
      <c r="R82" s="682"/>
      <c r="S82" s="682"/>
      <c r="T82" s="917"/>
      <c r="U82" s="682"/>
      <c r="V82" s="682"/>
      <c r="W82" s="682"/>
      <c r="X82" s="682"/>
      <c r="Y82" s="682"/>
      <c r="Z82" s="682"/>
      <c r="AA82" s="682"/>
      <c r="AB82" s="682"/>
      <c r="AC82" s="682"/>
      <c r="AD82" s="682"/>
      <c r="AE82" s="682"/>
      <c r="AF82" s="682"/>
      <c r="AG82" s="917"/>
      <c r="AH82" s="917"/>
      <c r="AI82" s="917"/>
      <c r="AJ82" s="917"/>
      <c r="AK82" s="924"/>
      <c r="AL82" s="924"/>
      <c r="AM82" s="924"/>
      <c r="AN82" s="924"/>
      <c r="AO82" s="995"/>
    </row>
    <row r="83" spans="1:42" s="18" customFormat="1" ht="13.15" customHeight="1" x14ac:dyDescent="0.2">
      <c r="A83" s="680"/>
      <c r="B83" s="680"/>
      <c r="C83" s="680"/>
      <c r="D83" s="680"/>
      <c r="E83" s="680"/>
      <c r="F83" s="680"/>
      <c r="G83" s="900"/>
      <c r="H83" s="682"/>
      <c r="I83" s="682"/>
      <c r="J83" s="682"/>
      <c r="K83" s="682"/>
      <c r="L83" s="682"/>
      <c r="M83" s="682"/>
      <c r="N83" s="682"/>
      <c r="O83" s="682"/>
      <c r="P83" s="682"/>
      <c r="Q83" s="682"/>
      <c r="R83" s="682"/>
      <c r="S83" s="682"/>
      <c r="T83" s="917"/>
      <c r="U83" s="682"/>
      <c r="V83" s="682"/>
      <c r="W83" s="682"/>
      <c r="X83" s="682"/>
      <c r="Y83" s="682"/>
      <c r="Z83" s="682"/>
      <c r="AA83" s="682"/>
      <c r="AB83" s="682"/>
      <c r="AC83" s="682"/>
      <c r="AD83" s="682"/>
      <c r="AE83" s="682"/>
      <c r="AF83" s="682"/>
      <c r="AG83" s="917"/>
      <c r="AH83" s="917"/>
      <c r="AI83" s="917"/>
      <c r="AJ83" s="917"/>
      <c r="AK83" s="924"/>
      <c r="AL83" s="924"/>
      <c r="AM83" s="924"/>
      <c r="AN83" s="924"/>
      <c r="AO83" s="995"/>
    </row>
    <row r="84" spans="1:42" s="18" customFormat="1" ht="13.15" customHeight="1" x14ac:dyDescent="0.2">
      <c r="A84" s="676" t="s">
        <v>443</v>
      </c>
      <c r="B84" s="676"/>
      <c r="C84" s="676"/>
      <c r="D84" s="676"/>
      <c r="E84" s="676"/>
      <c r="F84" s="676"/>
      <c r="G84" s="898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915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F84" s="678"/>
      <c r="AG84" s="915"/>
      <c r="AH84" s="915"/>
      <c r="AI84" s="915"/>
      <c r="AJ84" s="915"/>
      <c r="AK84" s="924"/>
      <c r="AL84" s="924"/>
      <c r="AM84" s="924"/>
      <c r="AN84" s="924"/>
      <c r="AO84" s="995"/>
    </row>
    <row r="85" spans="1:42" s="18" customFormat="1" ht="13.15" customHeight="1" x14ac:dyDescent="0.2">
      <c r="A85" s="674" t="s">
        <v>250</v>
      </c>
      <c r="B85" s="674"/>
      <c r="C85" s="690">
        <f>$G85/12</f>
        <v>18750</v>
      </c>
      <c r="D85" s="690">
        <f t="shared" ref="D85:F85" si="225">$G85/12</f>
        <v>18750</v>
      </c>
      <c r="E85" s="690">
        <f t="shared" si="225"/>
        <v>18750</v>
      </c>
      <c r="F85" s="690">
        <f t="shared" si="225"/>
        <v>18750</v>
      </c>
      <c r="G85" s="899">
        <v>225000</v>
      </c>
      <c r="H85" s="690">
        <f t="shared" ref="H85:M85" si="226">$T85/12</f>
        <v>18750</v>
      </c>
      <c r="I85" s="690">
        <f t="shared" si="226"/>
        <v>18750</v>
      </c>
      <c r="J85" s="690">
        <f t="shared" si="226"/>
        <v>18750</v>
      </c>
      <c r="K85" s="690">
        <f t="shared" si="226"/>
        <v>18750</v>
      </c>
      <c r="L85" s="690">
        <f t="shared" si="226"/>
        <v>18750</v>
      </c>
      <c r="M85" s="690">
        <f t="shared" si="226"/>
        <v>18750</v>
      </c>
      <c r="N85" s="690">
        <f t="shared" ref="N85:S85" si="227">$T85/12</f>
        <v>18750</v>
      </c>
      <c r="O85" s="690">
        <f t="shared" si="227"/>
        <v>18750</v>
      </c>
      <c r="P85" s="690">
        <f t="shared" si="227"/>
        <v>18750</v>
      </c>
      <c r="Q85" s="690">
        <f t="shared" si="227"/>
        <v>18750</v>
      </c>
      <c r="R85" s="690">
        <f t="shared" si="227"/>
        <v>18750</v>
      </c>
      <c r="S85" s="690">
        <f t="shared" si="227"/>
        <v>18750</v>
      </c>
      <c r="T85" s="899">
        <v>225000</v>
      </c>
      <c r="U85" s="690">
        <f>$AG85/12</f>
        <v>19687.5</v>
      </c>
      <c r="V85" s="690">
        <f t="shared" ref="V85:AF85" si="228">$AG85/12</f>
        <v>19687.5</v>
      </c>
      <c r="W85" s="690">
        <f t="shared" si="228"/>
        <v>19687.5</v>
      </c>
      <c r="X85" s="690">
        <f t="shared" si="228"/>
        <v>19687.5</v>
      </c>
      <c r="Y85" s="690">
        <f t="shared" si="228"/>
        <v>19687.5</v>
      </c>
      <c r="Z85" s="690">
        <f t="shared" si="228"/>
        <v>19687.5</v>
      </c>
      <c r="AA85" s="690">
        <f t="shared" si="228"/>
        <v>19687.5</v>
      </c>
      <c r="AB85" s="690">
        <f t="shared" si="228"/>
        <v>19687.5</v>
      </c>
      <c r="AC85" s="690">
        <f t="shared" si="228"/>
        <v>19687.5</v>
      </c>
      <c r="AD85" s="690">
        <f t="shared" si="228"/>
        <v>19687.5</v>
      </c>
      <c r="AE85" s="690">
        <f t="shared" si="228"/>
        <v>19687.5</v>
      </c>
      <c r="AF85" s="690">
        <f t="shared" si="228"/>
        <v>19687.5</v>
      </c>
      <c r="AG85" s="902">
        <f>T85*(1+AG86)</f>
        <v>236250</v>
      </c>
      <c r="AH85" s="902">
        <f>AG85*(1+AH86)</f>
        <v>248062.5</v>
      </c>
      <c r="AI85" s="902">
        <f t="shared" ref="AI85:AO85" si="229">AH85*(1+AI86)</f>
        <v>257985</v>
      </c>
      <c r="AJ85" s="902">
        <f t="shared" si="229"/>
        <v>265724.55</v>
      </c>
      <c r="AK85" s="902">
        <f t="shared" si="229"/>
        <v>271039.04099999997</v>
      </c>
      <c r="AL85" s="902">
        <f t="shared" si="229"/>
        <v>273749.43140999996</v>
      </c>
      <c r="AM85" s="902">
        <f t="shared" si="229"/>
        <v>273749.43140999996</v>
      </c>
      <c r="AN85" s="902">
        <f t="shared" si="229"/>
        <v>273749.43140999996</v>
      </c>
      <c r="AO85" s="996">
        <f t="shared" si="229"/>
        <v>273749.43140999996</v>
      </c>
    </row>
    <row r="86" spans="1:42" s="987" customFormat="1" ht="13.15" customHeight="1" x14ac:dyDescent="0.2">
      <c r="A86" s="680" t="s">
        <v>324</v>
      </c>
      <c r="B86" s="680"/>
      <c r="C86" s="687"/>
      <c r="D86" s="687"/>
      <c r="E86" s="687"/>
      <c r="F86" s="687"/>
      <c r="G86" s="900"/>
      <c r="H86" s="687"/>
      <c r="I86" s="687"/>
      <c r="J86" s="687"/>
      <c r="K86" s="687"/>
      <c r="L86" s="687"/>
      <c r="M86" s="687"/>
      <c r="N86" s="687"/>
      <c r="O86" s="687"/>
      <c r="P86" s="687"/>
      <c r="Q86" s="687"/>
      <c r="R86" s="687"/>
      <c r="S86" s="687"/>
      <c r="T86" s="916"/>
      <c r="U86" s="687"/>
      <c r="V86" s="687"/>
      <c r="W86" s="687"/>
      <c r="X86" s="687"/>
      <c r="Y86" s="687"/>
      <c r="Z86" s="687"/>
      <c r="AA86" s="687"/>
      <c r="AB86" s="687"/>
      <c r="AC86" s="687"/>
      <c r="AD86" s="687"/>
      <c r="AE86" s="687"/>
      <c r="AF86" s="687"/>
      <c r="AG86" s="921">
        <v>0.05</v>
      </c>
      <c r="AH86" s="921">
        <v>0.05</v>
      </c>
      <c r="AI86" s="921">
        <f>AH86-1%</f>
        <v>0.04</v>
      </c>
      <c r="AJ86" s="921">
        <f>AI86-1%</f>
        <v>0.03</v>
      </c>
      <c r="AK86" s="921">
        <f>AJ86-1%</f>
        <v>1.9999999999999997E-2</v>
      </c>
      <c r="AL86" s="921">
        <f>AK86-1%</f>
        <v>9.9999999999999967E-3</v>
      </c>
      <c r="AM86" s="921">
        <f>AL86-1%</f>
        <v>0</v>
      </c>
      <c r="AN86" s="925">
        <f>AM86</f>
        <v>0</v>
      </c>
      <c r="AO86" s="997">
        <f>AN86</f>
        <v>0</v>
      </c>
    </row>
    <row r="87" spans="1:42" s="987" customFormat="1" ht="13.15" customHeight="1" x14ac:dyDescent="0.2">
      <c r="A87" s="680" t="s">
        <v>248</v>
      </c>
      <c r="B87" s="680"/>
      <c r="C87" s="687">
        <f t="shared" ref="C87:F87" si="230">C60</f>
        <v>0</v>
      </c>
      <c r="D87" s="687">
        <f t="shared" si="230"/>
        <v>0</v>
      </c>
      <c r="E87" s="687">
        <f t="shared" si="230"/>
        <v>0</v>
      </c>
      <c r="F87" s="687">
        <f t="shared" si="230"/>
        <v>0</v>
      </c>
      <c r="G87" s="900">
        <f>F87</f>
        <v>0</v>
      </c>
      <c r="H87" s="687">
        <f t="shared" ref="H87:M87" si="231">H60</f>
        <v>0</v>
      </c>
      <c r="I87" s="687">
        <f t="shared" si="231"/>
        <v>0</v>
      </c>
      <c r="J87" s="687">
        <f t="shared" si="231"/>
        <v>0</v>
      </c>
      <c r="K87" s="687">
        <f t="shared" si="231"/>
        <v>0</v>
      </c>
      <c r="L87" s="687">
        <f t="shared" si="231"/>
        <v>0</v>
      </c>
      <c r="M87" s="687">
        <f t="shared" si="231"/>
        <v>0</v>
      </c>
      <c r="N87" s="687">
        <f t="shared" ref="N87:S87" si="232">N60</f>
        <v>0</v>
      </c>
      <c r="O87" s="687">
        <f t="shared" si="232"/>
        <v>0</v>
      </c>
      <c r="P87" s="687">
        <f t="shared" si="232"/>
        <v>0</v>
      </c>
      <c r="Q87" s="687">
        <f t="shared" si="232"/>
        <v>0</v>
      </c>
      <c r="R87" s="687">
        <f t="shared" si="232"/>
        <v>0</v>
      </c>
      <c r="S87" s="687">
        <f t="shared" si="232"/>
        <v>0</v>
      </c>
      <c r="T87" s="916">
        <f>S87</f>
        <v>0</v>
      </c>
      <c r="U87" s="687">
        <f>U60</f>
        <v>0</v>
      </c>
      <c r="V87" s="687">
        <f t="shared" ref="V87:AO87" si="233">V60</f>
        <v>0</v>
      </c>
      <c r="W87" s="687">
        <f t="shared" si="233"/>
        <v>0</v>
      </c>
      <c r="X87" s="687">
        <f t="shared" si="233"/>
        <v>0</v>
      </c>
      <c r="Y87" s="687">
        <f t="shared" si="233"/>
        <v>0</v>
      </c>
      <c r="Z87" s="687">
        <f t="shared" si="233"/>
        <v>0</v>
      </c>
      <c r="AA87" s="687">
        <f t="shared" si="233"/>
        <v>0</v>
      </c>
      <c r="AB87" s="687">
        <f t="shared" si="233"/>
        <v>0</v>
      </c>
      <c r="AC87" s="687">
        <f t="shared" si="233"/>
        <v>0</v>
      </c>
      <c r="AD87" s="687">
        <f t="shared" si="233"/>
        <v>0</v>
      </c>
      <c r="AE87" s="687">
        <f t="shared" si="233"/>
        <v>0</v>
      </c>
      <c r="AF87" s="687">
        <f t="shared" si="233"/>
        <v>0</v>
      </c>
      <c r="AG87" s="916">
        <f>AF87</f>
        <v>0</v>
      </c>
      <c r="AH87" s="921">
        <f t="shared" si="233"/>
        <v>1.0000000000000002E-2</v>
      </c>
      <c r="AI87" s="921">
        <f t="shared" si="233"/>
        <v>2.5000000000000001E-2</v>
      </c>
      <c r="AJ87" s="921">
        <f t="shared" si="233"/>
        <v>0.05</v>
      </c>
      <c r="AK87" s="921">
        <f t="shared" si="233"/>
        <v>0.1</v>
      </c>
      <c r="AL87" s="921">
        <f t="shared" si="233"/>
        <v>0.12</v>
      </c>
      <c r="AM87" s="921">
        <f t="shared" si="233"/>
        <v>0.13999999999999999</v>
      </c>
      <c r="AN87" s="921">
        <f t="shared" si="233"/>
        <v>0.15999999999999998</v>
      </c>
      <c r="AO87" s="1004">
        <f t="shared" si="233"/>
        <v>0.17999999999999997</v>
      </c>
    </row>
    <row r="88" spans="1:42" s="18" customFormat="1" ht="13.15" customHeight="1" x14ac:dyDescent="0.2">
      <c r="A88" s="680" t="s">
        <v>251</v>
      </c>
      <c r="B88" s="680"/>
      <c r="C88" s="690">
        <f t="shared" ref="C88:F88" si="234">C85*C87</f>
        <v>0</v>
      </c>
      <c r="D88" s="690">
        <f t="shared" si="234"/>
        <v>0</v>
      </c>
      <c r="E88" s="690">
        <f t="shared" si="234"/>
        <v>0</v>
      </c>
      <c r="F88" s="690">
        <f t="shared" si="234"/>
        <v>0</v>
      </c>
      <c r="G88" s="902">
        <f>SUM(C88:F88)</f>
        <v>0</v>
      </c>
      <c r="H88" s="690">
        <f t="shared" ref="H88:M88" si="235">H85*H87</f>
        <v>0</v>
      </c>
      <c r="I88" s="690">
        <f t="shared" si="235"/>
        <v>0</v>
      </c>
      <c r="J88" s="690">
        <f t="shared" si="235"/>
        <v>0</v>
      </c>
      <c r="K88" s="690">
        <f t="shared" si="235"/>
        <v>0</v>
      </c>
      <c r="L88" s="690">
        <f t="shared" si="235"/>
        <v>0</v>
      </c>
      <c r="M88" s="690">
        <f t="shared" si="235"/>
        <v>0</v>
      </c>
      <c r="N88" s="690">
        <f t="shared" ref="N88:S88" si="236">N85*N87</f>
        <v>0</v>
      </c>
      <c r="O88" s="690">
        <f t="shared" si="236"/>
        <v>0</v>
      </c>
      <c r="P88" s="690">
        <f t="shared" si="236"/>
        <v>0</v>
      </c>
      <c r="Q88" s="690">
        <f t="shared" si="236"/>
        <v>0</v>
      </c>
      <c r="R88" s="690">
        <f t="shared" si="236"/>
        <v>0</v>
      </c>
      <c r="S88" s="690">
        <f t="shared" si="236"/>
        <v>0</v>
      </c>
      <c r="T88" s="917">
        <f>SUM(H88:S88)</f>
        <v>0</v>
      </c>
      <c r="U88" s="690">
        <f t="shared" ref="U88:AF88" si="237">U85*U87</f>
        <v>0</v>
      </c>
      <c r="V88" s="690">
        <f t="shared" si="237"/>
        <v>0</v>
      </c>
      <c r="W88" s="690">
        <f t="shared" si="237"/>
        <v>0</v>
      </c>
      <c r="X88" s="690">
        <f t="shared" si="237"/>
        <v>0</v>
      </c>
      <c r="Y88" s="690">
        <f t="shared" si="237"/>
        <v>0</v>
      </c>
      <c r="Z88" s="690">
        <f t="shared" si="237"/>
        <v>0</v>
      </c>
      <c r="AA88" s="690">
        <f t="shared" si="237"/>
        <v>0</v>
      </c>
      <c r="AB88" s="690">
        <f t="shared" si="237"/>
        <v>0</v>
      </c>
      <c r="AC88" s="690">
        <f t="shared" si="237"/>
        <v>0</v>
      </c>
      <c r="AD88" s="690">
        <f t="shared" si="237"/>
        <v>0</v>
      </c>
      <c r="AE88" s="690">
        <f t="shared" si="237"/>
        <v>0</v>
      </c>
      <c r="AF88" s="690">
        <f t="shared" si="237"/>
        <v>0</v>
      </c>
      <c r="AG88" s="902">
        <f>SUM(U88:AF88)</f>
        <v>0</v>
      </c>
      <c r="AH88" s="902">
        <f>AH85*AVERAGE(AF87,AH87)</f>
        <v>1240.3125000000002</v>
      </c>
      <c r="AI88" s="902">
        <f t="shared" ref="AI88:AO88" si="238">AI85*AVERAGE(AH87,AI87)</f>
        <v>4514.7375000000002</v>
      </c>
      <c r="AJ88" s="902">
        <f t="shared" si="238"/>
        <v>9964.6706250000007</v>
      </c>
      <c r="AK88" s="902">
        <f t="shared" si="238"/>
        <v>20327.928075</v>
      </c>
      <c r="AL88" s="902">
        <f t="shared" si="238"/>
        <v>30112.437455099996</v>
      </c>
      <c r="AM88" s="902">
        <f t="shared" si="238"/>
        <v>35587.426083299993</v>
      </c>
      <c r="AN88" s="902">
        <f t="shared" si="238"/>
        <v>41062.414711499987</v>
      </c>
      <c r="AO88" s="996">
        <f t="shared" si="238"/>
        <v>46537.403339699988</v>
      </c>
    </row>
    <row r="89" spans="1:42" s="18" customFormat="1" ht="13.15" customHeight="1" x14ac:dyDescent="0.2">
      <c r="A89" s="680" t="s">
        <v>249</v>
      </c>
      <c r="B89" s="680"/>
      <c r="C89" s="686">
        <v>2.5</v>
      </c>
      <c r="D89" s="686">
        <f>C89</f>
        <v>2.5</v>
      </c>
      <c r="E89" s="686">
        <f t="shared" ref="E89:F89" si="239">D89</f>
        <v>2.5</v>
      </c>
      <c r="F89" s="686">
        <f t="shared" si="239"/>
        <v>2.5</v>
      </c>
      <c r="G89" s="903">
        <f>F89</f>
        <v>2.5</v>
      </c>
      <c r="H89" s="686">
        <f>F89</f>
        <v>2.5</v>
      </c>
      <c r="I89" s="686">
        <f>H89</f>
        <v>2.5</v>
      </c>
      <c r="J89" s="686">
        <f t="shared" ref="J89:S89" si="240">I89</f>
        <v>2.5</v>
      </c>
      <c r="K89" s="686">
        <f t="shared" si="240"/>
        <v>2.5</v>
      </c>
      <c r="L89" s="686">
        <f t="shared" si="240"/>
        <v>2.5</v>
      </c>
      <c r="M89" s="686">
        <f t="shared" si="240"/>
        <v>2.5</v>
      </c>
      <c r="N89" s="686">
        <f t="shared" si="240"/>
        <v>2.5</v>
      </c>
      <c r="O89" s="686">
        <f t="shared" si="240"/>
        <v>2.5</v>
      </c>
      <c r="P89" s="686">
        <f t="shared" si="240"/>
        <v>2.5</v>
      </c>
      <c r="Q89" s="686">
        <f t="shared" si="240"/>
        <v>2.5</v>
      </c>
      <c r="R89" s="686">
        <f t="shared" si="240"/>
        <v>2.5</v>
      </c>
      <c r="S89" s="686">
        <f t="shared" si="240"/>
        <v>2.5</v>
      </c>
      <c r="T89" s="903">
        <f t="shared" ref="T89" si="241">S89</f>
        <v>2.5</v>
      </c>
      <c r="U89" s="686">
        <f>S89</f>
        <v>2.5</v>
      </c>
      <c r="V89" s="686">
        <f t="shared" ref="V89:AG89" si="242">U89</f>
        <v>2.5</v>
      </c>
      <c r="W89" s="686">
        <f t="shared" si="242"/>
        <v>2.5</v>
      </c>
      <c r="X89" s="686">
        <f t="shared" si="242"/>
        <v>2.5</v>
      </c>
      <c r="Y89" s="686">
        <f t="shared" si="242"/>
        <v>2.5</v>
      </c>
      <c r="Z89" s="686">
        <f t="shared" si="242"/>
        <v>2.5</v>
      </c>
      <c r="AA89" s="686">
        <f t="shared" si="242"/>
        <v>2.5</v>
      </c>
      <c r="AB89" s="686">
        <f t="shared" si="242"/>
        <v>2.5</v>
      </c>
      <c r="AC89" s="686">
        <f t="shared" si="242"/>
        <v>2.5</v>
      </c>
      <c r="AD89" s="686">
        <f t="shared" si="242"/>
        <v>2.5</v>
      </c>
      <c r="AE89" s="686">
        <f t="shared" si="242"/>
        <v>2.5</v>
      </c>
      <c r="AF89" s="686">
        <f t="shared" si="242"/>
        <v>2.5</v>
      </c>
      <c r="AG89" s="919">
        <f t="shared" si="242"/>
        <v>2.5</v>
      </c>
      <c r="AH89" s="919">
        <f>AF89</f>
        <v>2.5</v>
      </c>
      <c r="AI89" s="919">
        <f t="shared" ref="AI89:AO89" si="243">AH89</f>
        <v>2.5</v>
      </c>
      <c r="AJ89" s="919">
        <f t="shared" si="243"/>
        <v>2.5</v>
      </c>
      <c r="AK89" s="919">
        <f t="shared" si="243"/>
        <v>2.5</v>
      </c>
      <c r="AL89" s="919">
        <f t="shared" si="243"/>
        <v>2.5</v>
      </c>
      <c r="AM89" s="919">
        <f t="shared" si="243"/>
        <v>2.5</v>
      </c>
      <c r="AN89" s="919">
        <f t="shared" si="243"/>
        <v>2.5</v>
      </c>
      <c r="AO89" s="998">
        <f t="shared" si="243"/>
        <v>2.5</v>
      </c>
    </row>
    <row r="90" spans="1:42" s="18" customFormat="1" ht="13.15" customHeight="1" x14ac:dyDescent="0.2">
      <c r="A90" s="680" t="s">
        <v>255</v>
      </c>
      <c r="B90" s="680"/>
      <c r="C90" s="690">
        <f t="shared" ref="C90:F90" si="244">C88*C89</f>
        <v>0</v>
      </c>
      <c r="D90" s="690">
        <f t="shared" si="244"/>
        <v>0</v>
      </c>
      <c r="E90" s="690">
        <f t="shared" si="244"/>
        <v>0</v>
      </c>
      <c r="F90" s="690">
        <f t="shared" si="244"/>
        <v>0</v>
      </c>
      <c r="G90" s="902">
        <f>SUM(C90:F90)</f>
        <v>0</v>
      </c>
      <c r="H90" s="690">
        <f t="shared" ref="H90:M90" si="245">H88*H89</f>
        <v>0</v>
      </c>
      <c r="I90" s="690">
        <f t="shared" si="245"/>
        <v>0</v>
      </c>
      <c r="J90" s="690">
        <f t="shared" si="245"/>
        <v>0</v>
      </c>
      <c r="K90" s="690">
        <f t="shared" si="245"/>
        <v>0</v>
      </c>
      <c r="L90" s="690">
        <f t="shared" si="245"/>
        <v>0</v>
      </c>
      <c r="M90" s="690">
        <f t="shared" si="245"/>
        <v>0</v>
      </c>
      <c r="N90" s="690">
        <f t="shared" ref="N90:S90" si="246">N88*N89</f>
        <v>0</v>
      </c>
      <c r="O90" s="690">
        <f t="shared" si="246"/>
        <v>0</v>
      </c>
      <c r="P90" s="690">
        <f t="shared" si="246"/>
        <v>0</v>
      </c>
      <c r="Q90" s="690">
        <f t="shared" si="246"/>
        <v>0</v>
      </c>
      <c r="R90" s="690">
        <f t="shared" si="246"/>
        <v>0</v>
      </c>
      <c r="S90" s="690">
        <f t="shared" si="246"/>
        <v>0</v>
      </c>
      <c r="T90" s="918">
        <f>SUM(H90:S90)</f>
        <v>0</v>
      </c>
      <c r="U90" s="690">
        <f t="shared" ref="U90:AF90" si="247">U88*U89</f>
        <v>0</v>
      </c>
      <c r="V90" s="690">
        <f t="shared" si="247"/>
        <v>0</v>
      </c>
      <c r="W90" s="690">
        <f t="shared" si="247"/>
        <v>0</v>
      </c>
      <c r="X90" s="690">
        <f t="shared" si="247"/>
        <v>0</v>
      </c>
      <c r="Y90" s="690">
        <f t="shared" si="247"/>
        <v>0</v>
      </c>
      <c r="Z90" s="690">
        <f t="shared" si="247"/>
        <v>0</v>
      </c>
      <c r="AA90" s="690">
        <f t="shared" si="247"/>
        <v>0</v>
      </c>
      <c r="AB90" s="690">
        <f t="shared" si="247"/>
        <v>0</v>
      </c>
      <c r="AC90" s="690">
        <f t="shared" si="247"/>
        <v>0</v>
      </c>
      <c r="AD90" s="690">
        <f t="shared" si="247"/>
        <v>0</v>
      </c>
      <c r="AE90" s="690">
        <f t="shared" si="247"/>
        <v>0</v>
      </c>
      <c r="AF90" s="690">
        <f t="shared" si="247"/>
        <v>0</v>
      </c>
      <c r="AG90" s="918">
        <f>SUM(U90:AF90)</f>
        <v>0</v>
      </c>
      <c r="AH90" s="902">
        <f t="shared" ref="AH90:AO90" si="248">AH88*AH89</f>
        <v>3100.7812500000005</v>
      </c>
      <c r="AI90" s="902">
        <f t="shared" si="248"/>
        <v>11286.84375</v>
      </c>
      <c r="AJ90" s="902">
        <f t="shared" si="248"/>
        <v>24911.676562500001</v>
      </c>
      <c r="AK90" s="902">
        <f t="shared" si="248"/>
        <v>50819.820187500001</v>
      </c>
      <c r="AL90" s="902">
        <f t="shared" si="248"/>
        <v>75281.093637749989</v>
      </c>
      <c r="AM90" s="902">
        <f t="shared" si="248"/>
        <v>88968.565208249987</v>
      </c>
      <c r="AN90" s="902">
        <f t="shared" si="248"/>
        <v>102656.03677874997</v>
      </c>
      <c r="AO90" s="996">
        <f t="shared" si="248"/>
        <v>116343.50834924997</v>
      </c>
    </row>
    <row r="91" spans="1:42" s="34" customFormat="1" ht="12.4" customHeight="1" x14ac:dyDescent="0.2">
      <c r="A91" s="1"/>
      <c r="B91" s="1"/>
      <c r="C91" s="1"/>
      <c r="D91" s="1"/>
      <c r="E91" s="1"/>
      <c r="F91" s="1"/>
      <c r="G91" s="26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6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268"/>
      <c r="AH91" s="268"/>
      <c r="AI91" s="268"/>
      <c r="AJ91" s="268"/>
      <c r="AK91" s="268"/>
      <c r="AL91" s="268"/>
      <c r="AM91" s="268"/>
      <c r="AN91" s="268"/>
      <c r="AO91" s="999"/>
      <c r="AP91" s="18"/>
    </row>
    <row r="92" spans="1:42" s="18" customFormat="1" ht="13.15" customHeight="1" x14ac:dyDescent="0.2">
      <c r="A92" s="680" t="s">
        <v>253</v>
      </c>
      <c r="B92" s="680"/>
      <c r="C92" s="689">
        <v>0</v>
      </c>
      <c r="D92" s="689">
        <v>0</v>
      </c>
      <c r="E92" s="689">
        <v>0</v>
      </c>
      <c r="F92" s="689">
        <v>0</v>
      </c>
      <c r="G92" s="902">
        <f>F92</f>
        <v>0</v>
      </c>
      <c r="H92" s="689">
        <v>0</v>
      </c>
      <c r="I92" s="689">
        <v>0</v>
      </c>
      <c r="J92" s="689">
        <v>0</v>
      </c>
      <c r="K92" s="689">
        <v>0</v>
      </c>
      <c r="L92" s="689">
        <v>0</v>
      </c>
      <c r="M92" s="689">
        <v>0</v>
      </c>
      <c r="N92" s="689">
        <v>0</v>
      </c>
      <c r="O92" s="689">
        <v>0</v>
      </c>
      <c r="P92" s="689">
        <v>0</v>
      </c>
      <c r="Q92" s="689">
        <v>0</v>
      </c>
      <c r="R92" s="689">
        <v>0</v>
      </c>
      <c r="S92" s="689">
        <v>0</v>
      </c>
      <c r="T92" s="902">
        <f>S92</f>
        <v>0</v>
      </c>
      <c r="U92" s="689">
        <f>S92</f>
        <v>0</v>
      </c>
      <c r="V92" s="689">
        <f>U92</f>
        <v>0</v>
      </c>
      <c r="W92" s="689">
        <f t="shared" ref="W92:AF92" si="249">V92</f>
        <v>0</v>
      </c>
      <c r="X92" s="689">
        <f t="shared" si="249"/>
        <v>0</v>
      </c>
      <c r="Y92" s="689">
        <f t="shared" si="249"/>
        <v>0</v>
      </c>
      <c r="Z92" s="689">
        <f t="shared" si="249"/>
        <v>0</v>
      </c>
      <c r="AA92" s="689">
        <f t="shared" si="249"/>
        <v>0</v>
      </c>
      <c r="AB92" s="689">
        <f t="shared" si="249"/>
        <v>0</v>
      </c>
      <c r="AC92" s="689">
        <f t="shared" si="249"/>
        <v>0</v>
      </c>
      <c r="AD92" s="689">
        <f t="shared" si="249"/>
        <v>0</v>
      </c>
      <c r="AE92" s="689">
        <f t="shared" si="249"/>
        <v>0</v>
      </c>
      <c r="AF92" s="689">
        <f t="shared" si="249"/>
        <v>0</v>
      </c>
      <c r="AG92" s="902">
        <f>AF92</f>
        <v>0</v>
      </c>
      <c r="AH92" s="899">
        <f>AF92</f>
        <v>0</v>
      </c>
      <c r="AI92" s="899">
        <f>AH92</f>
        <v>0</v>
      </c>
      <c r="AJ92" s="899">
        <f t="shared" ref="AJ92:AO92" si="250">AI92</f>
        <v>0</v>
      </c>
      <c r="AK92" s="899">
        <f t="shared" si="250"/>
        <v>0</v>
      </c>
      <c r="AL92" s="899">
        <f t="shared" si="250"/>
        <v>0</v>
      </c>
      <c r="AM92" s="899">
        <f t="shared" si="250"/>
        <v>0</v>
      </c>
      <c r="AN92" s="899">
        <f t="shared" si="250"/>
        <v>0</v>
      </c>
      <c r="AO92" s="1000">
        <f t="shared" si="250"/>
        <v>0</v>
      </c>
    </row>
    <row r="93" spans="1:42" s="18" customFormat="1" ht="13.15" customHeight="1" x14ac:dyDescent="0.2">
      <c r="A93" s="680" t="s">
        <v>252</v>
      </c>
      <c r="B93" s="680"/>
      <c r="C93" s="689">
        <v>0</v>
      </c>
      <c r="D93" s="689">
        <v>0</v>
      </c>
      <c r="E93" s="689">
        <v>0</v>
      </c>
      <c r="F93" s="689">
        <v>0</v>
      </c>
      <c r="G93" s="902">
        <f>SUM(C93:F93)</f>
        <v>0</v>
      </c>
      <c r="H93" s="689">
        <v>0</v>
      </c>
      <c r="I93" s="689">
        <v>0</v>
      </c>
      <c r="J93" s="689">
        <v>0</v>
      </c>
      <c r="K93" s="689">
        <v>0</v>
      </c>
      <c r="L93" s="689">
        <v>0</v>
      </c>
      <c r="M93" s="689">
        <v>0</v>
      </c>
      <c r="N93" s="689">
        <f t="shared" ref="N93:S93" si="251">100/12</f>
        <v>8.3333333333333339</v>
      </c>
      <c r="O93" s="689">
        <f t="shared" si="251"/>
        <v>8.3333333333333339</v>
      </c>
      <c r="P93" s="689">
        <f t="shared" si="251"/>
        <v>8.3333333333333339</v>
      </c>
      <c r="Q93" s="689">
        <f t="shared" si="251"/>
        <v>8.3333333333333339</v>
      </c>
      <c r="R93" s="689">
        <f t="shared" si="251"/>
        <v>8.3333333333333339</v>
      </c>
      <c r="S93" s="689">
        <f t="shared" si="251"/>
        <v>8.3333333333333339</v>
      </c>
      <c r="T93" s="917">
        <f>SUM(H93:S93)</f>
        <v>50.000000000000007</v>
      </c>
      <c r="U93" s="689">
        <f t="shared" ref="U93:AF93" si="252">100/12</f>
        <v>8.3333333333333339</v>
      </c>
      <c r="V93" s="689">
        <f t="shared" si="252"/>
        <v>8.3333333333333339</v>
      </c>
      <c r="W93" s="689">
        <f t="shared" si="252"/>
        <v>8.3333333333333339</v>
      </c>
      <c r="X93" s="689">
        <f t="shared" si="252"/>
        <v>8.3333333333333339</v>
      </c>
      <c r="Y93" s="689">
        <f t="shared" si="252"/>
        <v>8.3333333333333339</v>
      </c>
      <c r="Z93" s="689">
        <f t="shared" si="252"/>
        <v>8.3333333333333339</v>
      </c>
      <c r="AA93" s="689">
        <f t="shared" si="252"/>
        <v>8.3333333333333339</v>
      </c>
      <c r="AB93" s="689">
        <f t="shared" si="252"/>
        <v>8.3333333333333339</v>
      </c>
      <c r="AC93" s="689">
        <f t="shared" si="252"/>
        <v>8.3333333333333339</v>
      </c>
      <c r="AD93" s="689">
        <f t="shared" si="252"/>
        <v>8.3333333333333339</v>
      </c>
      <c r="AE93" s="689">
        <f t="shared" si="252"/>
        <v>8.3333333333333339</v>
      </c>
      <c r="AF93" s="689">
        <f t="shared" si="252"/>
        <v>8.3333333333333339</v>
      </c>
      <c r="AG93" s="917">
        <f>SUM(U93:AF93)</f>
        <v>99.999999999999986</v>
      </c>
      <c r="AH93" s="899">
        <v>100</v>
      </c>
      <c r="AI93" s="899">
        <v>100</v>
      </c>
      <c r="AJ93" s="899">
        <v>100</v>
      </c>
      <c r="AK93" s="899">
        <v>100</v>
      </c>
      <c r="AL93" s="899">
        <v>100</v>
      </c>
      <c r="AM93" s="899">
        <v>100</v>
      </c>
      <c r="AN93" s="899">
        <v>100</v>
      </c>
      <c r="AO93" s="1000">
        <v>100</v>
      </c>
    </row>
    <row r="94" spans="1:42" s="18" customFormat="1" ht="13.15" customHeight="1" x14ac:dyDescent="0.2">
      <c r="A94" s="680" t="s">
        <v>254</v>
      </c>
      <c r="B94" s="680"/>
      <c r="C94" s="690">
        <f t="shared" ref="C94:F94" si="253">C92*C93</f>
        <v>0</v>
      </c>
      <c r="D94" s="690">
        <f t="shared" si="253"/>
        <v>0</v>
      </c>
      <c r="E94" s="690">
        <f t="shared" si="253"/>
        <v>0</v>
      </c>
      <c r="F94" s="690">
        <f t="shared" si="253"/>
        <v>0</v>
      </c>
      <c r="G94" s="902">
        <f>SUM(C94:F94)</f>
        <v>0</v>
      </c>
      <c r="H94" s="690">
        <f t="shared" ref="H94:M94" si="254">H92*H93</f>
        <v>0</v>
      </c>
      <c r="I94" s="690">
        <f t="shared" si="254"/>
        <v>0</v>
      </c>
      <c r="J94" s="690">
        <f t="shared" si="254"/>
        <v>0</v>
      </c>
      <c r="K94" s="690">
        <f t="shared" si="254"/>
        <v>0</v>
      </c>
      <c r="L94" s="690">
        <f t="shared" si="254"/>
        <v>0</v>
      </c>
      <c r="M94" s="690">
        <f t="shared" si="254"/>
        <v>0</v>
      </c>
      <c r="N94" s="690">
        <f t="shared" ref="N94:S94" si="255">N92*N93</f>
        <v>0</v>
      </c>
      <c r="O94" s="690">
        <f t="shared" si="255"/>
        <v>0</v>
      </c>
      <c r="P94" s="690">
        <f t="shared" si="255"/>
        <v>0</v>
      </c>
      <c r="Q94" s="690">
        <f t="shared" si="255"/>
        <v>0</v>
      </c>
      <c r="R94" s="690">
        <f t="shared" si="255"/>
        <v>0</v>
      </c>
      <c r="S94" s="690">
        <f t="shared" si="255"/>
        <v>0</v>
      </c>
      <c r="T94" s="917">
        <f>SUM(H94:S94)</f>
        <v>0</v>
      </c>
      <c r="U94" s="690">
        <f t="shared" ref="U94:AF94" si="256">U92*U93</f>
        <v>0</v>
      </c>
      <c r="V94" s="690">
        <f t="shared" si="256"/>
        <v>0</v>
      </c>
      <c r="W94" s="690">
        <f t="shared" si="256"/>
        <v>0</v>
      </c>
      <c r="X94" s="690">
        <f t="shared" si="256"/>
        <v>0</v>
      </c>
      <c r="Y94" s="690">
        <f t="shared" si="256"/>
        <v>0</v>
      </c>
      <c r="Z94" s="690">
        <f t="shared" si="256"/>
        <v>0</v>
      </c>
      <c r="AA94" s="690">
        <f t="shared" si="256"/>
        <v>0</v>
      </c>
      <c r="AB94" s="690">
        <f t="shared" si="256"/>
        <v>0</v>
      </c>
      <c r="AC94" s="690">
        <f t="shared" si="256"/>
        <v>0</v>
      </c>
      <c r="AD94" s="690">
        <f t="shared" si="256"/>
        <v>0</v>
      </c>
      <c r="AE94" s="690">
        <f t="shared" si="256"/>
        <v>0</v>
      </c>
      <c r="AF94" s="690">
        <f t="shared" si="256"/>
        <v>0</v>
      </c>
      <c r="AG94" s="902">
        <f>SUM(U94:AF94)</f>
        <v>0</v>
      </c>
      <c r="AH94" s="902">
        <f t="shared" ref="AH94:AO94" si="257">AH92*AH93</f>
        <v>0</v>
      </c>
      <c r="AI94" s="902">
        <f t="shared" si="257"/>
        <v>0</v>
      </c>
      <c r="AJ94" s="902">
        <f t="shared" si="257"/>
        <v>0</v>
      </c>
      <c r="AK94" s="902">
        <f t="shared" si="257"/>
        <v>0</v>
      </c>
      <c r="AL94" s="902">
        <f t="shared" si="257"/>
        <v>0</v>
      </c>
      <c r="AM94" s="902">
        <f t="shared" si="257"/>
        <v>0</v>
      </c>
      <c r="AN94" s="902">
        <f t="shared" si="257"/>
        <v>0</v>
      </c>
      <c r="AO94" s="996">
        <f t="shared" si="257"/>
        <v>0</v>
      </c>
    </row>
    <row r="95" spans="1:42" s="18" customFormat="1" ht="13.15" customHeight="1" x14ac:dyDescent="0.2">
      <c r="A95" s="680" t="s">
        <v>249</v>
      </c>
      <c r="B95" s="680"/>
      <c r="C95" s="686">
        <f t="shared" ref="C95:F95" si="258">C89</f>
        <v>2.5</v>
      </c>
      <c r="D95" s="686">
        <f t="shared" si="258"/>
        <v>2.5</v>
      </c>
      <c r="E95" s="686">
        <f t="shared" si="258"/>
        <v>2.5</v>
      </c>
      <c r="F95" s="686">
        <f t="shared" si="258"/>
        <v>2.5</v>
      </c>
      <c r="G95" s="903">
        <f>F95</f>
        <v>2.5</v>
      </c>
      <c r="H95" s="686">
        <f t="shared" ref="H95:M95" si="259">H89</f>
        <v>2.5</v>
      </c>
      <c r="I95" s="686">
        <f t="shared" si="259"/>
        <v>2.5</v>
      </c>
      <c r="J95" s="686">
        <f t="shared" si="259"/>
        <v>2.5</v>
      </c>
      <c r="K95" s="686">
        <f t="shared" si="259"/>
        <v>2.5</v>
      </c>
      <c r="L95" s="686">
        <f t="shared" si="259"/>
        <v>2.5</v>
      </c>
      <c r="M95" s="686">
        <f t="shared" si="259"/>
        <v>2.5</v>
      </c>
      <c r="N95" s="686">
        <f t="shared" ref="N95:AO95" si="260">N89</f>
        <v>2.5</v>
      </c>
      <c r="O95" s="686">
        <f t="shared" si="260"/>
        <v>2.5</v>
      </c>
      <c r="P95" s="686">
        <f t="shared" si="260"/>
        <v>2.5</v>
      </c>
      <c r="Q95" s="686">
        <f t="shared" si="260"/>
        <v>2.5</v>
      </c>
      <c r="R95" s="686">
        <f t="shared" si="260"/>
        <v>2.5</v>
      </c>
      <c r="S95" s="686">
        <f t="shared" si="260"/>
        <v>2.5</v>
      </c>
      <c r="T95" s="919">
        <f t="shared" si="260"/>
        <v>2.5</v>
      </c>
      <c r="U95" s="686">
        <f t="shared" si="260"/>
        <v>2.5</v>
      </c>
      <c r="V95" s="686">
        <f t="shared" si="260"/>
        <v>2.5</v>
      </c>
      <c r="W95" s="686">
        <f t="shared" si="260"/>
        <v>2.5</v>
      </c>
      <c r="X95" s="686">
        <f t="shared" si="260"/>
        <v>2.5</v>
      </c>
      <c r="Y95" s="686">
        <f t="shared" si="260"/>
        <v>2.5</v>
      </c>
      <c r="Z95" s="686">
        <f t="shared" si="260"/>
        <v>2.5</v>
      </c>
      <c r="AA95" s="686">
        <f t="shared" si="260"/>
        <v>2.5</v>
      </c>
      <c r="AB95" s="686">
        <f t="shared" si="260"/>
        <v>2.5</v>
      </c>
      <c r="AC95" s="686">
        <f t="shared" si="260"/>
        <v>2.5</v>
      </c>
      <c r="AD95" s="686">
        <f t="shared" si="260"/>
        <v>2.5</v>
      </c>
      <c r="AE95" s="686">
        <f t="shared" si="260"/>
        <v>2.5</v>
      </c>
      <c r="AF95" s="686">
        <f t="shared" si="260"/>
        <v>2.5</v>
      </c>
      <c r="AG95" s="919">
        <f t="shared" si="260"/>
        <v>2.5</v>
      </c>
      <c r="AH95" s="919">
        <f t="shared" si="260"/>
        <v>2.5</v>
      </c>
      <c r="AI95" s="919">
        <f t="shared" si="260"/>
        <v>2.5</v>
      </c>
      <c r="AJ95" s="919">
        <f t="shared" si="260"/>
        <v>2.5</v>
      </c>
      <c r="AK95" s="919">
        <f t="shared" si="260"/>
        <v>2.5</v>
      </c>
      <c r="AL95" s="919">
        <f t="shared" si="260"/>
        <v>2.5</v>
      </c>
      <c r="AM95" s="919">
        <f t="shared" si="260"/>
        <v>2.5</v>
      </c>
      <c r="AN95" s="919">
        <f t="shared" si="260"/>
        <v>2.5</v>
      </c>
      <c r="AO95" s="998">
        <f t="shared" si="260"/>
        <v>2.5</v>
      </c>
    </row>
    <row r="96" spans="1:42" s="18" customFormat="1" ht="13.15" customHeight="1" x14ac:dyDescent="0.2">
      <c r="A96" s="680" t="s">
        <v>255</v>
      </c>
      <c r="B96" s="680"/>
      <c r="C96" s="690">
        <f t="shared" ref="C96:F96" si="261">C94*C95</f>
        <v>0</v>
      </c>
      <c r="D96" s="690">
        <f t="shared" si="261"/>
        <v>0</v>
      </c>
      <c r="E96" s="690">
        <f t="shared" si="261"/>
        <v>0</v>
      </c>
      <c r="F96" s="690">
        <f t="shared" si="261"/>
        <v>0</v>
      </c>
      <c r="G96" s="902">
        <f>SUM(C96:F96)</f>
        <v>0</v>
      </c>
      <c r="H96" s="690">
        <f t="shared" ref="H96:M96" si="262">H94*H95</f>
        <v>0</v>
      </c>
      <c r="I96" s="690">
        <f t="shared" si="262"/>
        <v>0</v>
      </c>
      <c r="J96" s="690">
        <f t="shared" si="262"/>
        <v>0</v>
      </c>
      <c r="K96" s="690">
        <f t="shared" si="262"/>
        <v>0</v>
      </c>
      <c r="L96" s="690">
        <f t="shared" si="262"/>
        <v>0</v>
      </c>
      <c r="M96" s="690">
        <f t="shared" si="262"/>
        <v>0</v>
      </c>
      <c r="N96" s="690">
        <f t="shared" ref="N96:S96" si="263">N94*N95</f>
        <v>0</v>
      </c>
      <c r="O96" s="690">
        <f t="shared" si="263"/>
        <v>0</v>
      </c>
      <c r="P96" s="690">
        <f t="shared" si="263"/>
        <v>0</v>
      </c>
      <c r="Q96" s="690">
        <f t="shared" si="263"/>
        <v>0</v>
      </c>
      <c r="R96" s="690">
        <f t="shared" si="263"/>
        <v>0</v>
      </c>
      <c r="S96" s="690">
        <f t="shared" si="263"/>
        <v>0</v>
      </c>
      <c r="T96" s="918">
        <f>SUM(H96:S96)</f>
        <v>0</v>
      </c>
      <c r="U96" s="690">
        <f t="shared" ref="U96:AF96" si="264">U94*U95</f>
        <v>0</v>
      </c>
      <c r="V96" s="690">
        <f t="shared" si="264"/>
        <v>0</v>
      </c>
      <c r="W96" s="690">
        <f t="shared" si="264"/>
        <v>0</v>
      </c>
      <c r="X96" s="690">
        <f t="shared" si="264"/>
        <v>0</v>
      </c>
      <c r="Y96" s="690">
        <f t="shared" si="264"/>
        <v>0</v>
      </c>
      <c r="Z96" s="690">
        <f t="shared" si="264"/>
        <v>0</v>
      </c>
      <c r="AA96" s="690">
        <f t="shared" si="264"/>
        <v>0</v>
      </c>
      <c r="AB96" s="690">
        <f t="shared" si="264"/>
        <v>0</v>
      </c>
      <c r="AC96" s="690">
        <f t="shared" si="264"/>
        <v>0</v>
      </c>
      <c r="AD96" s="690">
        <f t="shared" si="264"/>
        <v>0</v>
      </c>
      <c r="AE96" s="690">
        <f t="shared" si="264"/>
        <v>0</v>
      </c>
      <c r="AF96" s="690">
        <f t="shared" si="264"/>
        <v>0</v>
      </c>
      <c r="AG96" s="918">
        <f>SUM(U96:AF96)</f>
        <v>0</v>
      </c>
      <c r="AH96" s="902">
        <f t="shared" ref="AH96:AO96" si="265">AH94*AH95</f>
        <v>0</v>
      </c>
      <c r="AI96" s="902">
        <f t="shared" si="265"/>
        <v>0</v>
      </c>
      <c r="AJ96" s="902">
        <f t="shared" si="265"/>
        <v>0</v>
      </c>
      <c r="AK96" s="902">
        <f t="shared" si="265"/>
        <v>0</v>
      </c>
      <c r="AL96" s="902">
        <f t="shared" si="265"/>
        <v>0</v>
      </c>
      <c r="AM96" s="902">
        <f t="shared" si="265"/>
        <v>0</v>
      </c>
      <c r="AN96" s="902">
        <f t="shared" si="265"/>
        <v>0</v>
      </c>
      <c r="AO96" s="996">
        <f t="shared" si="265"/>
        <v>0</v>
      </c>
    </row>
    <row r="97" spans="1:42" s="18" customFormat="1" ht="13.15" customHeight="1" x14ac:dyDescent="0.2">
      <c r="A97" s="674"/>
      <c r="B97" s="674"/>
      <c r="C97" s="682"/>
      <c r="D97" s="682"/>
      <c r="E97" s="682"/>
      <c r="F97" s="682"/>
      <c r="G97" s="900"/>
      <c r="H97" s="682"/>
      <c r="I97" s="682"/>
      <c r="J97" s="682"/>
      <c r="K97" s="682"/>
      <c r="L97" s="682"/>
      <c r="M97" s="682"/>
      <c r="N97" s="682"/>
      <c r="O97" s="682"/>
      <c r="P97" s="682"/>
      <c r="Q97" s="682"/>
      <c r="R97" s="682"/>
      <c r="S97" s="682"/>
      <c r="T97" s="917"/>
      <c r="U97" s="682"/>
      <c r="V97" s="682"/>
      <c r="W97" s="682"/>
      <c r="X97" s="682"/>
      <c r="Y97" s="682"/>
      <c r="Z97" s="682"/>
      <c r="AA97" s="682"/>
      <c r="AB97" s="682"/>
      <c r="AC97" s="682"/>
      <c r="AD97" s="682"/>
      <c r="AE97" s="682"/>
      <c r="AF97" s="682"/>
      <c r="AG97" s="917"/>
      <c r="AH97" s="917"/>
      <c r="AI97" s="917"/>
      <c r="AJ97" s="917"/>
      <c r="AK97" s="924"/>
      <c r="AL97" s="924"/>
      <c r="AM97" s="924"/>
      <c r="AN97" s="924"/>
      <c r="AO97" s="995"/>
    </row>
    <row r="98" spans="1:42" s="18" customFormat="1" ht="13.15" customHeight="1" x14ac:dyDescent="0.2">
      <c r="A98" s="680" t="s">
        <v>256</v>
      </c>
      <c r="B98" s="680"/>
      <c r="C98" s="689">
        <v>0</v>
      </c>
      <c r="D98" s="689">
        <v>0</v>
      </c>
      <c r="E98" s="689">
        <v>0</v>
      </c>
      <c r="F98" s="689">
        <v>0</v>
      </c>
      <c r="G98" s="902">
        <f>F98</f>
        <v>0</v>
      </c>
      <c r="H98" s="689">
        <v>0</v>
      </c>
      <c r="I98" s="689">
        <v>0</v>
      </c>
      <c r="J98" s="689">
        <v>0</v>
      </c>
      <c r="K98" s="689">
        <v>0</v>
      </c>
      <c r="L98" s="689">
        <v>0</v>
      </c>
      <c r="M98" s="689">
        <v>0</v>
      </c>
      <c r="N98" s="689">
        <v>0</v>
      </c>
      <c r="O98" s="689">
        <v>0</v>
      </c>
      <c r="P98" s="689">
        <v>0</v>
      </c>
      <c r="Q98" s="689">
        <v>0</v>
      </c>
      <c r="R98" s="689">
        <v>0</v>
      </c>
      <c r="S98" s="689">
        <v>0</v>
      </c>
      <c r="T98" s="902">
        <f>S98</f>
        <v>0</v>
      </c>
      <c r="U98" s="689">
        <f>S98</f>
        <v>0</v>
      </c>
      <c r="V98" s="689">
        <f>U98</f>
        <v>0</v>
      </c>
      <c r="W98" s="689">
        <f t="shared" ref="W98:AF98" si="266">V98</f>
        <v>0</v>
      </c>
      <c r="X98" s="689">
        <f t="shared" si="266"/>
        <v>0</v>
      </c>
      <c r="Y98" s="689">
        <f t="shared" si="266"/>
        <v>0</v>
      </c>
      <c r="Z98" s="689">
        <f t="shared" si="266"/>
        <v>0</v>
      </c>
      <c r="AA98" s="689">
        <f t="shared" si="266"/>
        <v>0</v>
      </c>
      <c r="AB98" s="689">
        <f t="shared" si="266"/>
        <v>0</v>
      </c>
      <c r="AC98" s="689">
        <f t="shared" si="266"/>
        <v>0</v>
      </c>
      <c r="AD98" s="689">
        <f t="shared" si="266"/>
        <v>0</v>
      </c>
      <c r="AE98" s="689">
        <f t="shared" si="266"/>
        <v>0</v>
      </c>
      <c r="AF98" s="689">
        <f t="shared" si="266"/>
        <v>0</v>
      </c>
      <c r="AG98" s="902">
        <f>AF98</f>
        <v>0</v>
      </c>
      <c r="AH98" s="899">
        <f>AF98</f>
        <v>0</v>
      </c>
      <c r="AI98" s="899">
        <f>AH98</f>
        <v>0</v>
      </c>
      <c r="AJ98" s="899">
        <f t="shared" ref="AJ98:AO98" si="267">AI98</f>
        <v>0</v>
      </c>
      <c r="AK98" s="899">
        <f t="shared" si="267"/>
        <v>0</v>
      </c>
      <c r="AL98" s="899">
        <f t="shared" si="267"/>
        <v>0</v>
      </c>
      <c r="AM98" s="899">
        <f t="shared" si="267"/>
        <v>0</v>
      </c>
      <c r="AN98" s="899">
        <f t="shared" si="267"/>
        <v>0</v>
      </c>
      <c r="AO98" s="1000">
        <f t="shared" si="267"/>
        <v>0</v>
      </c>
    </row>
    <row r="99" spans="1:42" s="18" customFormat="1" ht="13.15" customHeight="1" x14ac:dyDescent="0.2">
      <c r="A99" s="680" t="s">
        <v>252</v>
      </c>
      <c r="B99" s="680"/>
      <c r="C99" s="689">
        <v>0</v>
      </c>
      <c r="D99" s="689">
        <v>0</v>
      </c>
      <c r="E99" s="689">
        <v>0</v>
      </c>
      <c r="F99" s="689">
        <v>0</v>
      </c>
      <c r="G99" s="902">
        <f>SUM(C99:F99)</f>
        <v>0</v>
      </c>
      <c r="H99" s="689">
        <v>0</v>
      </c>
      <c r="I99" s="689">
        <v>0</v>
      </c>
      <c r="J99" s="689">
        <v>0</v>
      </c>
      <c r="K99" s="689">
        <v>0</v>
      </c>
      <c r="L99" s="689">
        <v>0</v>
      </c>
      <c r="M99" s="689">
        <v>0</v>
      </c>
      <c r="N99" s="689">
        <f t="shared" ref="N99:S99" si="268">300/12</f>
        <v>25</v>
      </c>
      <c r="O99" s="689">
        <f t="shared" si="268"/>
        <v>25</v>
      </c>
      <c r="P99" s="689">
        <f t="shared" si="268"/>
        <v>25</v>
      </c>
      <c r="Q99" s="689">
        <f t="shared" si="268"/>
        <v>25</v>
      </c>
      <c r="R99" s="689">
        <f t="shared" si="268"/>
        <v>25</v>
      </c>
      <c r="S99" s="689">
        <f t="shared" si="268"/>
        <v>25</v>
      </c>
      <c r="T99" s="917">
        <f>SUM(H99:S99)</f>
        <v>150</v>
      </c>
      <c r="U99" s="689">
        <f>300/12</f>
        <v>25</v>
      </c>
      <c r="V99" s="689">
        <f t="shared" ref="V99:AF99" si="269">300/12</f>
        <v>25</v>
      </c>
      <c r="W99" s="689">
        <f t="shared" si="269"/>
        <v>25</v>
      </c>
      <c r="X99" s="689">
        <f t="shared" si="269"/>
        <v>25</v>
      </c>
      <c r="Y99" s="689">
        <f t="shared" si="269"/>
        <v>25</v>
      </c>
      <c r="Z99" s="689">
        <f t="shared" si="269"/>
        <v>25</v>
      </c>
      <c r="AA99" s="689">
        <f t="shared" si="269"/>
        <v>25</v>
      </c>
      <c r="AB99" s="689">
        <f t="shared" si="269"/>
        <v>25</v>
      </c>
      <c r="AC99" s="689">
        <f t="shared" si="269"/>
        <v>25</v>
      </c>
      <c r="AD99" s="689">
        <f t="shared" si="269"/>
        <v>25</v>
      </c>
      <c r="AE99" s="689">
        <f t="shared" si="269"/>
        <v>25</v>
      </c>
      <c r="AF99" s="689">
        <f t="shared" si="269"/>
        <v>25</v>
      </c>
      <c r="AG99" s="917">
        <f>SUM(U99:AF99)</f>
        <v>300</v>
      </c>
      <c r="AH99" s="899">
        <v>300</v>
      </c>
      <c r="AI99" s="899">
        <v>300</v>
      </c>
      <c r="AJ99" s="899">
        <v>300</v>
      </c>
      <c r="AK99" s="899">
        <v>300</v>
      </c>
      <c r="AL99" s="899">
        <v>300</v>
      </c>
      <c r="AM99" s="899">
        <v>300</v>
      </c>
      <c r="AN99" s="899">
        <v>300</v>
      </c>
      <c r="AO99" s="1000">
        <v>300</v>
      </c>
    </row>
    <row r="100" spans="1:42" s="18" customFormat="1" ht="13.15" customHeight="1" x14ac:dyDescent="0.2">
      <c r="A100" s="680" t="s">
        <v>254</v>
      </c>
      <c r="B100" s="680"/>
      <c r="C100" s="690">
        <f t="shared" ref="C100:F100" si="270">C98*C99</f>
        <v>0</v>
      </c>
      <c r="D100" s="690">
        <f t="shared" si="270"/>
        <v>0</v>
      </c>
      <c r="E100" s="690">
        <f t="shared" si="270"/>
        <v>0</v>
      </c>
      <c r="F100" s="690">
        <f t="shared" si="270"/>
        <v>0</v>
      </c>
      <c r="G100" s="902">
        <f>SUM(C100:F100)</f>
        <v>0</v>
      </c>
      <c r="H100" s="690">
        <f t="shared" ref="H100:M100" si="271">H98*H99</f>
        <v>0</v>
      </c>
      <c r="I100" s="690">
        <f t="shared" si="271"/>
        <v>0</v>
      </c>
      <c r="J100" s="690">
        <f t="shared" si="271"/>
        <v>0</v>
      </c>
      <c r="K100" s="690">
        <f t="shared" si="271"/>
        <v>0</v>
      </c>
      <c r="L100" s="690">
        <f t="shared" si="271"/>
        <v>0</v>
      </c>
      <c r="M100" s="690">
        <f t="shared" si="271"/>
        <v>0</v>
      </c>
      <c r="N100" s="690">
        <f t="shared" ref="N100:S100" si="272">N98*N99</f>
        <v>0</v>
      </c>
      <c r="O100" s="690">
        <f t="shared" si="272"/>
        <v>0</v>
      </c>
      <c r="P100" s="690">
        <f t="shared" si="272"/>
        <v>0</v>
      </c>
      <c r="Q100" s="690">
        <f t="shared" si="272"/>
        <v>0</v>
      </c>
      <c r="R100" s="690">
        <f t="shared" si="272"/>
        <v>0</v>
      </c>
      <c r="S100" s="690">
        <f t="shared" si="272"/>
        <v>0</v>
      </c>
      <c r="T100" s="917">
        <f>SUM(H100:S100)</f>
        <v>0</v>
      </c>
      <c r="U100" s="690">
        <f t="shared" ref="U100:AF100" si="273">U98*U99</f>
        <v>0</v>
      </c>
      <c r="V100" s="690">
        <f t="shared" si="273"/>
        <v>0</v>
      </c>
      <c r="W100" s="690">
        <f t="shared" si="273"/>
        <v>0</v>
      </c>
      <c r="X100" s="690">
        <f t="shared" si="273"/>
        <v>0</v>
      </c>
      <c r="Y100" s="690">
        <f t="shared" si="273"/>
        <v>0</v>
      </c>
      <c r="Z100" s="690">
        <f t="shared" si="273"/>
        <v>0</v>
      </c>
      <c r="AA100" s="690">
        <f t="shared" si="273"/>
        <v>0</v>
      </c>
      <c r="AB100" s="690">
        <f t="shared" si="273"/>
        <v>0</v>
      </c>
      <c r="AC100" s="690">
        <f t="shared" si="273"/>
        <v>0</v>
      </c>
      <c r="AD100" s="690">
        <f t="shared" si="273"/>
        <v>0</v>
      </c>
      <c r="AE100" s="690">
        <f t="shared" si="273"/>
        <v>0</v>
      </c>
      <c r="AF100" s="690">
        <f t="shared" si="273"/>
        <v>0</v>
      </c>
      <c r="AG100" s="917">
        <f>SUM(U100:AF100)</f>
        <v>0</v>
      </c>
      <c r="AH100" s="902">
        <f t="shared" ref="AH100:AO100" si="274">AH98*AH99</f>
        <v>0</v>
      </c>
      <c r="AI100" s="902">
        <f t="shared" si="274"/>
        <v>0</v>
      </c>
      <c r="AJ100" s="902">
        <f t="shared" si="274"/>
        <v>0</v>
      </c>
      <c r="AK100" s="902">
        <f t="shared" si="274"/>
        <v>0</v>
      </c>
      <c r="AL100" s="902">
        <f t="shared" si="274"/>
        <v>0</v>
      </c>
      <c r="AM100" s="902">
        <f t="shared" si="274"/>
        <v>0</v>
      </c>
      <c r="AN100" s="902">
        <f t="shared" si="274"/>
        <v>0</v>
      </c>
      <c r="AO100" s="996">
        <f t="shared" si="274"/>
        <v>0</v>
      </c>
    </row>
    <row r="101" spans="1:42" s="18" customFormat="1" ht="13.15" customHeight="1" x14ac:dyDescent="0.2">
      <c r="A101" s="680" t="s">
        <v>249</v>
      </c>
      <c r="B101" s="680"/>
      <c r="C101" s="686">
        <f t="shared" ref="C101:F101" si="275">C89</f>
        <v>2.5</v>
      </c>
      <c r="D101" s="686">
        <f t="shared" si="275"/>
        <v>2.5</v>
      </c>
      <c r="E101" s="686">
        <f t="shared" si="275"/>
        <v>2.5</v>
      </c>
      <c r="F101" s="686">
        <f t="shared" si="275"/>
        <v>2.5</v>
      </c>
      <c r="G101" s="903">
        <f>F101</f>
        <v>2.5</v>
      </c>
      <c r="H101" s="686">
        <f t="shared" ref="H101:M101" si="276">H89</f>
        <v>2.5</v>
      </c>
      <c r="I101" s="686">
        <f t="shared" si="276"/>
        <v>2.5</v>
      </c>
      <c r="J101" s="686">
        <f t="shared" si="276"/>
        <v>2.5</v>
      </c>
      <c r="K101" s="686">
        <f t="shared" si="276"/>
        <v>2.5</v>
      </c>
      <c r="L101" s="686">
        <f t="shared" si="276"/>
        <v>2.5</v>
      </c>
      <c r="M101" s="686">
        <f t="shared" si="276"/>
        <v>2.5</v>
      </c>
      <c r="N101" s="686">
        <f t="shared" ref="N101:AO101" si="277">N89</f>
        <v>2.5</v>
      </c>
      <c r="O101" s="686">
        <f t="shared" si="277"/>
        <v>2.5</v>
      </c>
      <c r="P101" s="686">
        <f t="shared" si="277"/>
        <v>2.5</v>
      </c>
      <c r="Q101" s="686">
        <f t="shared" si="277"/>
        <v>2.5</v>
      </c>
      <c r="R101" s="686">
        <f t="shared" si="277"/>
        <v>2.5</v>
      </c>
      <c r="S101" s="686">
        <f t="shared" si="277"/>
        <v>2.5</v>
      </c>
      <c r="T101" s="919">
        <f t="shared" si="277"/>
        <v>2.5</v>
      </c>
      <c r="U101" s="686">
        <f t="shared" si="277"/>
        <v>2.5</v>
      </c>
      <c r="V101" s="686">
        <f t="shared" si="277"/>
        <v>2.5</v>
      </c>
      <c r="W101" s="686">
        <f t="shared" si="277"/>
        <v>2.5</v>
      </c>
      <c r="X101" s="686">
        <f t="shared" si="277"/>
        <v>2.5</v>
      </c>
      <c r="Y101" s="686">
        <f t="shared" si="277"/>
        <v>2.5</v>
      </c>
      <c r="Z101" s="686">
        <f t="shared" si="277"/>
        <v>2.5</v>
      </c>
      <c r="AA101" s="686">
        <f t="shared" si="277"/>
        <v>2.5</v>
      </c>
      <c r="AB101" s="686">
        <f t="shared" si="277"/>
        <v>2.5</v>
      </c>
      <c r="AC101" s="686">
        <f t="shared" si="277"/>
        <v>2.5</v>
      </c>
      <c r="AD101" s="686">
        <f t="shared" si="277"/>
        <v>2.5</v>
      </c>
      <c r="AE101" s="686">
        <f t="shared" si="277"/>
        <v>2.5</v>
      </c>
      <c r="AF101" s="686">
        <f t="shared" si="277"/>
        <v>2.5</v>
      </c>
      <c r="AG101" s="919">
        <f t="shared" si="277"/>
        <v>2.5</v>
      </c>
      <c r="AH101" s="919">
        <f t="shared" si="277"/>
        <v>2.5</v>
      </c>
      <c r="AI101" s="919">
        <f t="shared" si="277"/>
        <v>2.5</v>
      </c>
      <c r="AJ101" s="919">
        <f t="shared" si="277"/>
        <v>2.5</v>
      </c>
      <c r="AK101" s="919">
        <f t="shared" si="277"/>
        <v>2.5</v>
      </c>
      <c r="AL101" s="919">
        <f t="shared" si="277"/>
        <v>2.5</v>
      </c>
      <c r="AM101" s="919">
        <f t="shared" si="277"/>
        <v>2.5</v>
      </c>
      <c r="AN101" s="919">
        <f t="shared" si="277"/>
        <v>2.5</v>
      </c>
      <c r="AO101" s="998">
        <f t="shared" si="277"/>
        <v>2.5</v>
      </c>
    </row>
    <row r="102" spans="1:42" s="18" customFormat="1" ht="13.15" customHeight="1" x14ac:dyDescent="0.2">
      <c r="A102" s="680" t="s">
        <v>255</v>
      </c>
      <c r="B102" s="680"/>
      <c r="C102" s="690">
        <f t="shared" ref="C102:F102" si="278">C100*C101</f>
        <v>0</v>
      </c>
      <c r="D102" s="690">
        <f t="shared" si="278"/>
        <v>0</v>
      </c>
      <c r="E102" s="690">
        <f t="shared" si="278"/>
        <v>0</v>
      </c>
      <c r="F102" s="690">
        <f t="shared" si="278"/>
        <v>0</v>
      </c>
      <c r="G102" s="902">
        <f>SUM(C102:F102)</f>
        <v>0</v>
      </c>
      <c r="H102" s="690">
        <f t="shared" ref="H102:M102" si="279">H100*H101</f>
        <v>0</v>
      </c>
      <c r="I102" s="690">
        <f t="shared" si="279"/>
        <v>0</v>
      </c>
      <c r="J102" s="690">
        <f t="shared" si="279"/>
        <v>0</v>
      </c>
      <c r="K102" s="690">
        <f t="shared" si="279"/>
        <v>0</v>
      </c>
      <c r="L102" s="690">
        <f t="shared" si="279"/>
        <v>0</v>
      </c>
      <c r="M102" s="690">
        <f t="shared" si="279"/>
        <v>0</v>
      </c>
      <c r="N102" s="690">
        <f t="shared" ref="N102:S102" si="280">N100*N101</f>
        <v>0</v>
      </c>
      <c r="O102" s="690">
        <f t="shared" si="280"/>
        <v>0</v>
      </c>
      <c r="P102" s="690">
        <f t="shared" si="280"/>
        <v>0</v>
      </c>
      <c r="Q102" s="690">
        <f t="shared" si="280"/>
        <v>0</v>
      </c>
      <c r="R102" s="690">
        <f t="shared" si="280"/>
        <v>0</v>
      </c>
      <c r="S102" s="690">
        <f t="shared" si="280"/>
        <v>0</v>
      </c>
      <c r="T102" s="918">
        <f>SUM(H102:S102)</f>
        <v>0</v>
      </c>
      <c r="U102" s="690">
        <f t="shared" ref="U102:AF102" si="281">U100*U101</f>
        <v>0</v>
      </c>
      <c r="V102" s="690">
        <f t="shared" si="281"/>
        <v>0</v>
      </c>
      <c r="W102" s="690">
        <f t="shared" si="281"/>
        <v>0</v>
      </c>
      <c r="X102" s="690">
        <f t="shared" si="281"/>
        <v>0</v>
      </c>
      <c r="Y102" s="690">
        <f t="shared" si="281"/>
        <v>0</v>
      </c>
      <c r="Z102" s="690">
        <f t="shared" si="281"/>
        <v>0</v>
      </c>
      <c r="AA102" s="690">
        <f t="shared" si="281"/>
        <v>0</v>
      </c>
      <c r="AB102" s="690">
        <f t="shared" si="281"/>
        <v>0</v>
      </c>
      <c r="AC102" s="690">
        <f t="shared" si="281"/>
        <v>0</v>
      </c>
      <c r="AD102" s="690">
        <f t="shared" si="281"/>
        <v>0</v>
      </c>
      <c r="AE102" s="690">
        <f t="shared" si="281"/>
        <v>0</v>
      </c>
      <c r="AF102" s="690">
        <f t="shared" si="281"/>
        <v>0</v>
      </c>
      <c r="AG102" s="918">
        <f>SUM(U102:AF102)</f>
        <v>0</v>
      </c>
      <c r="AH102" s="902">
        <f t="shared" ref="AH102:AO102" si="282">AH100*AH101</f>
        <v>0</v>
      </c>
      <c r="AI102" s="902">
        <f t="shared" si="282"/>
        <v>0</v>
      </c>
      <c r="AJ102" s="902">
        <f t="shared" si="282"/>
        <v>0</v>
      </c>
      <c r="AK102" s="902">
        <f t="shared" si="282"/>
        <v>0</v>
      </c>
      <c r="AL102" s="902">
        <f t="shared" si="282"/>
        <v>0</v>
      </c>
      <c r="AM102" s="902">
        <f t="shared" si="282"/>
        <v>0</v>
      </c>
      <c r="AN102" s="902">
        <f t="shared" si="282"/>
        <v>0</v>
      </c>
      <c r="AO102" s="996">
        <f t="shared" si="282"/>
        <v>0</v>
      </c>
    </row>
    <row r="103" spans="1:42" s="18" customFormat="1" ht="13.15" customHeight="1" x14ac:dyDescent="0.2">
      <c r="A103" s="680"/>
      <c r="B103" s="680"/>
      <c r="C103" s="682"/>
      <c r="D103" s="682"/>
      <c r="E103" s="682"/>
      <c r="F103" s="682"/>
      <c r="G103" s="900"/>
      <c r="H103" s="682"/>
      <c r="I103" s="682"/>
      <c r="J103" s="682"/>
      <c r="K103" s="682"/>
      <c r="L103" s="682"/>
      <c r="M103" s="682"/>
      <c r="N103" s="682"/>
      <c r="O103" s="682"/>
      <c r="P103" s="682"/>
      <c r="Q103" s="682"/>
      <c r="R103" s="682"/>
      <c r="S103" s="682"/>
      <c r="T103" s="917"/>
      <c r="U103" s="682"/>
      <c r="V103" s="682"/>
      <c r="W103" s="682"/>
      <c r="X103" s="682"/>
      <c r="Y103" s="682"/>
      <c r="Z103" s="682"/>
      <c r="AA103" s="682"/>
      <c r="AB103" s="682"/>
      <c r="AC103" s="682"/>
      <c r="AD103" s="682"/>
      <c r="AE103" s="682"/>
      <c r="AF103" s="682"/>
      <c r="AG103" s="917"/>
      <c r="AH103" s="917"/>
      <c r="AI103" s="917"/>
      <c r="AJ103" s="917"/>
      <c r="AK103" s="924"/>
      <c r="AL103" s="924"/>
      <c r="AM103" s="924"/>
      <c r="AN103" s="924"/>
      <c r="AO103" s="995"/>
    </row>
    <row r="104" spans="1:42" s="277" customFormat="1" ht="13.15" customHeight="1" x14ac:dyDescent="0.2">
      <c r="A104" s="676" t="s">
        <v>257</v>
      </c>
      <c r="B104" s="676"/>
      <c r="C104" s="694">
        <f t="shared" ref="C104:F104" si="283">C90+C96+C102</f>
        <v>0</v>
      </c>
      <c r="D104" s="694">
        <f t="shared" si="283"/>
        <v>0</v>
      </c>
      <c r="E104" s="694">
        <f t="shared" si="283"/>
        <v>0</v>
      </c>
      <c r="F104" s="694">
        <f t="shared" si="283"/>
        <v>0</v>
      </c>
      <c r="G104" s="904">
        <f>SUM(C104:F104)</f>
        <v>0</v>
      </c>
      <c r="H104" s="694">
        <f t="shared" ref="H104:M104" si="284">H90+H96+H102</f>
        <v>0</v>
      </c>
      <c r="I104" s="694">
        <f t="shared" si="284"/>
        <v>0</v>
      </c>
      <c r="J104" s="694">
        <f t="shared" si="284"/>
        <v>0</v>
      </c>
      <c r="K104" s="694">
        <f t="shared" si="284"/>
        <v>0</v>
      </c>
      <c r="L104" s="694">
        <f t="shared" si="284"/>
        <v>0</v>
      </c>
      <c r="M104" s="694">
        <f t="shared" si="284"/>
        <v>0</v>
      </c>
      <c r="N104" s="694">
        <f t="shared" ref="N104:S104" si="285">N90+N96+N102</f>
        <v>0</v>
      </c>
      <c r="O104" s="694">
        <f t="shared" si="285"/>
        <v>0</v>
      </c>
      <c r="P104" s="694">
        <f t="shared" si="285"/>
        <v>0</v>
      </c>
      <c r="Q104" s="694">
        <f t="shared" si="285"/>
        <v>0</v>
      </c>
      <c r="R104" s="694">
        <f t="shared" si="285"/>
        <v>0</v>
      </c>
      <c r="S104" s="694">
        <f t="shared" si="285"/>
        <v>0</v>
      </c>
      <c r="T104" s="915">
        <f>SUM(H104:S104)</f>
        <v>0</v>
      </c>
      <c r="U104" s="694">
        <f t="shared" ref="U104:AF104" si="286">U90+U96+U102</f>
        <v>0</v>
      </c>
      <c r="V104" s="694">
        <f t="shared" si="286"/>
        <v>0</v>
      </c>
      <c r="W104" s="694">
        <f t="shared" si="286"/>
        <v>0</v>
      </c>
      <c r="X104" s="694">
        <f t="shared" si="286"/>
        <v>0</v>
      </c>
      <c r="Y104" s="694">
        <f t="shared" si="286"/>
        <v>0</v>
      </c>
      <c r="Z104" s="694">
        <f t="shared" si="286"/>
        <v>0</v>
      </c>
      <c r="AA104" s="694">
        <f t="shared" si="286"/>
        <v>0</v>
      </c>
      <c r="AB104" s="694">
        <f t="shared" si="286"/>
        <v>0</v>
      </c>
      <c r="AC104" s="694">
        <f t="shared" si="286"/>
        <v>0</v>
      </c>
      <c r="AD104" s="694">
        <f t="shared" si="286"/>
        <v>0</v>
      </c>
      <c r="AE104" s="694">
        <f t="shared" si="286"/>
        <v>0</v>
      </c>
      <c r="AF104" s="694">
        <f t="shared" si="286"/>
        <v>0</v>
      </c>
      <c r="AG104" s="904">
        <f>SUM(U104:AF104)</f>
        <v>0</v>
      </c>
      <c r="AH104" s="904">
        <f t="shared" ref="AH104:AO104" si="287">AH90+AH96+AH102</f>
        <v>3100.7812500000005</v>
      </c>
      <c r="AI104" s="904">
        <f t="shared" si="287"/>
        <v>11286.84375</v>
      </c>
      <c r="AJ104" s="904">
        <f t="shared" si="287"/>
        <v>24911.676562500001</v>
      </c>
      <c r="AK104" s="904">
        <f t="shared" si="287"/>
        <v>50819.820187500001</v>
      </c>
      <c r="AL104" s="904">
        <f t="shared" si="287"/>
        <v>75281.093637749989</v>
      </c>
      <c r="AM104" s="904">
        <f t="shared" si="287"/>
        <v>88968.565208249987</v>
      </c>
      <c r="AN104" s="904">
        <f t="shared" si="287"/>
        <v>102656.03677874997</v>
      </c>
      <c r="AO104" s="1001">
        <f t="shared" si="287"/>
        <v>116343.50834924997</v>
      </c>
    </row>
    <row r="105" spans="1:42" s="18" customFormat="1" ht="13.15" customHeight="1" x14ac:dyDescent="0.2">
      <c r="A105" s="680"/>
      <c r="B105" s="680"/>
      <c r="C105" s="682"/>
      <c r="D105" s="682"/>
      <c r="E105" s="682"/>
      <c r="F105" s="682"/>
      <c r="G105" s="900"/>
      <c r="H105" s="682"/>
      <c r="I105" s="682"/>
      <c r="J105" s="682"/>
      <c r="K105" s="682"/>
      <c r="L105" s="682"/>
      <c r="M105" s="682"/>
      <c r="N105" s="682"/>
      <c r="O105" s="682"/>
      <c r="P105" s="682"/>
      <c r="Q105" s="682"/>
      <c r="R105" s="682"/>
      <c r="S105" s="682"/>
      <c r="T105" s="917"/>
      <c r="U105" s="682"/>
      <c r="V105" s="682"/>
      <c r="W105" s="682"/>
      <c r="X105" s="682"/>
      <c r="Y105" s="682"/>
      <c r="Z105" s="682"/>
      <c r="AA105" s="682"/>
      <c r="AB105" s="682"/>
      <c r="AC105" s="682"/>
      <c r="AD105" s="682"/>
      <c r="AE105" s="682"/>
      <c r="AF105" s="682"/>
      <c r="AG105" s="917"/>
      <c r="AH105" s="917"/>
      <c r="AI105" s="917"/>
      <c r="AJ105" s="917"/>
      <c r="AK105" s="924"/>
      <c r="AL105" s="924"/>
      <c r="AM105" s="924"/>
      <c r="AN105" s="924"/>
      <c r="AO105" s="995"/>
    </row>
    <row r="106" spans="1:42" s="18" customFormat="1" ht="13.15" customHeight="1" x14ac:dyDescent="0.2">
      <c r="A106" s="680" t="s">
        <v>258</v>
      </c>
      <c r="B106" s="680"/>
      <c r="C106" s="767">
        <f t="shared" ref="C106:F106" si="288">C25</f>
        <v>300</v>
      </c>
      <c r="D106" s="767">
        <f t="shared" si="288"/>
        <v>300</v>
      </c>
      <c r="E106" s="767">
        <f t="shared" si="288"/>
        <v>300</v>
      </c>
      <c r="F106" s="767">
        <f t="shared" si="288"/>
        <v>300</v>
      </c>
      <c r="G106" s="905">
        <f>F106</f>
        <v>300</v>
      </c>
      <c r="H106" s="767">
        <f t="shared" ref="H106:M106" si="289">H25</f>
        <v>300</v>
      </c>
      <c r="I106" s="767">
        <f t="shared" si="289"/>
        <v>300</v>
      </c>
      <c r="J106" s="767">
        <f t="shared" si="289"/>
        <v>300</v>
      </c>
      <c r="K106" s="767">
        <f t="shared" si="289"/>
        <v>300</v>
      </c>
      <c r="L106" s="767">
        <f t="shared" si="289"/>
        <v>300</v>
      </c>
      <c r="M106" s="767">
        <f t="shared" si="289"/>
        <v>300</v>
      </c>
      <c r="N106" s="767">
        <f t="shared" ref="N106:AO106" si="290">N25</f>
        <v>300</v>
      </c>
      <c r="O106" s="767">
        <f t="shared" si="290"/>
        <v>300</v>
      </c>
      <c r="P106" s="767">
        <f t="shared" si="290"/>
        <v>300</v>
      </c>
      <c r="Q106" s="767">
        <f t="shared" si="290"/>
        <v>300</v>
      </c>
      <c r="R106" s="767">
        <f t="shared" si="290"/>
        <v>300</v>
      </c>
      <c r="S106" s="767">
        <f t="shared" si="290"/>
        <v>300</v>
      </c>
      <c r="T106" s="905">
        <f t="shared" si="290"/>
        <v>300</v>
      </c>
      <c r="U106" s="767">
        <f t="shared" si="290"/>
        <v>300</v>
      </c>
      <c r="V106" s="767">
        <f t="shared" si="290"/>
        <v>300</v>
      </c>
      <c r="W106" s="767">
        <f t="shared" si="290"/>
        <v>300</v>
      </c>
      <c r="X106" s="767">
        <f t="shared" si="290"/>
        <v>300</v>
      </c>
      <c r="Y106" s="767">
        <f t="shared" si="290"/>
        <v>300</v>
      </c>
      <c r="Z106" s="767">
        <f t="shared" si="290"/>
        <v>300</v>
      </c>
      <c r="AA106" s="767">
        <f t="shared" si="290"/>
        <v>300</v>
      </c>
      <c r="AB106" s="767">
        <f t="shared" si="290"/>
        <v>300</v>
      </c>
      <c r="AC106" s="767">
        <f t="shared" si="290"/>
        <v>300</v>
      </c>
      <c r="AD106" s="767">
        <f t="shared" si="290"/>
        <v>300</v>
      </c>
      <c r="AE106" s="767">
        <f t="shared" si="290"/>
        <v>300</v>
      </c>
      <c r="AF106" s="767">
        <f t="shared" si="290"/>
        <v>300</v>
      </c>
      <c r="AG106" s="905">
        <f t="shared" si="290"/>
        <v>300</v>
      </c>
      <c r="AH106" s="905">
        <f t="shared" si="290"/>
        <v>300</v>
      </c>
      <c r="AI106" s="905">
        <f t="shared" si="290"/>
        <v>300</v>
      </c>
      <c r="AJ106" s="905">
        <f t="shared" si="290"/>
        <v>300</v>
      </c>
      <c r="AK106" s="905">
        <f t="shared" si="290"/>
        <v>300</v>
      </c>
      <c r="AL106" s="905">
        <f t="shared" si="290"/>
        <v>300</v>
      </c>
      <c r="AM106" s="905">
        <f t="shared" si="290"/>
        <v>300</v>
      </c>
      <c r="AN106" s="905">
        <f t="shared" si="290"/>
        <v>300</v>
      </c>
      <c r="AO106" s="1002">
        <f t="shared" si="290"/>
        <v>300</v>
      </c>
      <c r="AP106" s="988"/>
    </row>
    <row r="107" spans="1:42" s="18" customFormat="1" ht="13.15" customHeight="1" x14ac:dyDescent="0.2">
      <c r="A107" s="680"/>
      <c r="B107" s="680"/>
      <c r="C107" s="682"/>
      <c r="D107" s="682"/>
      <c r="E107" s="682"/>
      <c r="F107" s="682"/>
      <c r="G107" s="900"/>
      <c r="H107" s="682"/>
      <c r="I107" s="682"/>
      <c r="J107" s="682"/>
      <c r="K107" s="682"/>
      <c r="L107" s="682"/>
      <c r="M107" s="682"/>
      <c r="N107" s="682"/>
      <c r="O107" s="682"/>
      <c r="P107" s="682"/>
      <c r="Q107" s="682"/>
      <c r="R107" s="682"/>
      <c r="S107" s="682"/>
      <c r="T107" s="917"/>
      <c r="U107" s="682"/>
      <c r="V107" s="682"/>
      <c r="W107" s="682"/>
      <c r="X107" s="682"/>
      <c r="Y107" s="682"/>
      <c r="Z107" s="682"/>
      <c r="AA107" s="682"/>
      <c r="AB107" s="682"/>
      <c r="AC107" s="682"/>
      <c r="AD107" s="682"/>
      <c r="AE107" s="682"/>
      <c r="AF107" s="682"/>
      <c r="AG107" s="917"/>
      <c r="AH107" s="917"/>
      <c r="AI107" s="917"/>
      <c r="AJ107" s="917"/>
      <c r="AK107" s="924"/>
      <c r="AL107" s="924"/>
      <c r="AM107" s="924"/>
      <c r="AN107" s="924"/>
      <c r="AO107" s="995"/>
    </row>
    <row r="108" spans="1:42" s="794" customFormat="1" ht="13.15" customHeight="1" x14ac:dyDescent="0.2">
      <c r="A108" s="763" t="s">
        <v>414</v>
      </c>
      <c r="B108" s="763"/>
      <c r="C108" s="765">
        <f t="shared" ref="C108:F108" si="291">C104*C106</f>
        <v>0</v>
      </c>
      <c r="D108" s="765">
        <f t="shared" si="291"/>
        <v>0</v>
      </c>
      <c r="E108" s="765">
        <f t="shared" si="291"/>
        <v>0</v>
      </c>
      <c r="F108" s="765">
        <f t="shared" si="291"/>
        <v>0</v>
      </c>
      <c r="G108" s="906">
        <f>SUM(C108:F108)</f>
        <v>0</v>
      </c>
      <c r="H108" s="765">
        <f t="shared" ref="H108:M108" si="292">H104*H106</f>
        <v>0</v>
      </c>
      <c r="I108" s="765">
        <f t="shared" si="292"/>
        <v>0</v>
      </c>
      <c r="J108" s="765">
        <f t="shared" si="292"/>
        <v>0</v>
      </c>
      <c r="K108" s="765">
        <f t="shared" si="292"/>
        <v>0</v>
      </c>
      <c r="L108" s="765">
        <f t="shared" si="292"/>
        <v>0</v>
      </c>
      <c r="M108" s="765">
        <f t="shared" si="292"/>
        <v>0</v>
      </c>
      <c r="N108" s="765">
        <f t="shared" ref="N108:S108" si="293">N104*N106</f>
        <v>0</v>
      </c>
      <c r="O108" s="765">
        <f t="shared" si="293"/>
        <v>0</v>
      </c>
      <c r="P108" s="765">
        <f t="shared" si="293"/>
        <v>0</v>
      </c>
      <c r="Q108" s="765">
        <f t="shared" si="293"/>
        <v>0</v>
      </c>
      <c r="R108" s="765">
        <f t="shared" si="293"/>
        <v>0</v>
      </c>
      <c r="S108" s="765">
        <f t="shared" si="293"/>
        <v>0</v>
      </c>
      <c r="T108" s="906">
        <f>SUM(H108:S108)</f>
        <v>0</v>
      </c>
      <c r="U108" s="765">
        <f>U104*U106</f>
        <v>0</v>
      </c>
      <c r="V108" s="765">
        <f t="shared" ref="V108:AF108" si="294">V104*V106</f>
        <v>0</v>
      </c>
      <c r="W108" s="765">
        <f t="shared" si="294"/>
        <v>0</v>
      </c>
      <c r="X108" s="765">
        <f t="shared" si="294"/>
        <v>0</v>
      </c>
      <c r="Y108" s="765">
        <f t="shared" si="294"/>
        <v>0</v>
      </c>
      <c r="Z108" s="765">
        <f t="shared" si="294"/>
        <v>0</v>
      </c>
      <c r="AA108" s="765">
        <f t="shared" si="294"/>
        <v>0</v>
      </c>
      <c r="AB108" s="765">
        <f t="shared" si="294"/>
        <v>0</v>
      </c>
      <c r="AC108" s="765">
        <f t="shared" si="294"/>
        <v>0</v>
      </c>
      <c r="AD108" s="765">
        <f t="shared" si="294"/>
        <v>0</v>
      </c>
      <c r="AE108" s="765">
        <f t="shared" si="294"/>
        <v>0</v>
      </c>
      <c r="AF108" s="765">
        <f t="shared" si="294"/>
        <v>0</v>
      </c>
      <c r="AG108" s="906">
        <f>SUM(U108:AF108)</f>
        <v>0</v>
      </c>
      <c r="AH108" s="906">
        <f t="shared" ref="AH108:AO108" si="295">AH104*AH106</f>
        <v>930234.37500000012</v>
      </c>
      <c r="AI108" s="906">
        <f t="shared" si="295"/>
        <v>3386053.125</v>
      </c>
      <c r="AJ108" s="906">
        <f t="shared" si="295"/>
        <v>7473502.96875</v>
      </c>
      <c r="AK108" s="906">
        <f t="shared" si="295"/>
        <v>15245946.05625</v>
      </c>
      <c r="AL108" s="906">
        <f t="shared" si="295"/>
        <v>22584328.091324996</v>
      </c>
      <c r="AM108" s="906">
        <f t="shared" si="295"/>
        <v>26690569.562474996</v>
      </c>
      <c r="AN108" s="906">
        <f t="shared" si="295"/>
        <v>30796811.033624992</v>
      </c>
      <c r="AO108" s="1003">
        <f t="shared" si="295"/>
        <v>34903052.504774988</v>
      </c>
      <c r="AP108" s="277"/>
    </row>
    <row r="109" spans="1:42" s="18" customFormat="1" ht="13.15" customHeight="1" x14ac:dyDescent="0.2">
      <c r="A109" s="680"/>
      <c r="B109" s="680"/>
      <c r="C109" s="680"/>
      <c r="D109" s="680"/>
      <c r="E109" s="680"/>
      <c r="F109" s="680"/>
      <c r="G109" s="900"/>
      <c r="H109" s="682"/>
      <c r="I109" s="682"/>
      <c r="J109" s="682"/>
      <c r="K109" s="682"/>
      <c r="L109" s="682"/>
      <c r="M109" s="682"/>
      <c r="N109" s="682"/>
      <c r="O109" s="682"/>
      <c r="P109" s="682"/>
      <c r="Q109" s="682"/>
      <c r="R109" s="682"/>
      <c r="S109" s="682"/>
      <c r="T109" s="917"/>
      <c r="U109" s="682"/>
      <c r="V109" s="682"/>
      <c r="W109" s="682"/>
      <c r="X109" s="682"/>
      <c r="Y109" s="682"/>
      <c r="Z109" s="682"/>
      <c r="AA109" s="682"/>
      <c r="AB109" s="682"/>
      <c r="AC109" s="682"/>
      <c r="AD109" s="682"/>
      <c r="AE109" s="682"/>
      <c r="AF109" s="682"/>
      <c r="AG109" s="917"/>
      <c r="AH109" s="917"/>
      <c r="AI109" s="917"/>
      <c r="AJ109" s="917"/>
      <c r="AK109" s="924"/>
      <c r="AL109" s="924"/>
      <c r="AM109" s="924"/>
      <c r="AN109" s="924"/>
      <c r="AO109" s="995"/>
    </row>
    <row r="110" spans="1:42" s="18" customFormat="1" ht="13.15" customHeight="1" x14ac:dyDescent="0.2">
      <c r="A110" s="680"/>
      <c r="B110" s="680"/>
      <c r="C110" s="680"/>
      <c r="D110" s="680"/>
      <c r="E110" s="680"/>
      <c r="F110" s="680"/>
      <c r="G110" s="900"/>
      <c r="H110" s="682"/>
      <c r="I110" s="682"/>
      <c r="J110" s="682"/>
      <c r="K110" s="682"/>
      <c r="L110" s="682"/>
      <c r="M110" s="682"/>
      <c r="N110" s="682"/>
      <c r="O110" s="682"/>
      <c r="P110" s="682"/>
      <c r="Q110" s="682"/>
      <c r="R110" s="682"/>
      <c r="S110" s="682"/>
      <c r="T110" s="917"/>
      <c r="U110" s="682"/>
      <c r="V110" s="682"/>
      <c r="W110" s="682"/>
      <c r="X110" s="682"/>
      <c r="Y110" s="682"/>
      <c r="Z110" s="682"/>
      <c r="AA110" s="682"/>
      <c r="AB110" s="682"/>
      <c r="AC110" s="682"/>
      <c r="AD110" s="682"/>
      <c r="AE110" s="682"/>
      <c r="AF110" s="682"/>
      <c r="AG110" s="917"/>
      <c r="AH110" s="917"/>
      <c r="AI110" s="917"/>
      <c r="AJ110" s="917"/>
      <c r="AK110" s="924"/>
      <c r="AL110" s="924"/>
      <c r="AM110" s="924"/>
      <c r="AN110" s="924"/>
      <c r="AO110" s="995"/>
    </row>
    <row r="111" spans="1:42" s="18" customFormat="1" ht="13.15" customHeight="1" x14ac:dyDescent="0.2">
      <c r="A111" s="676" t="s">
        <v>444</v>
      </c>
      <c r="B111" s="676"/>
      <c r="C111" s="676"/>
      <c r="D111" s="676"/>
      <c r="E111" s="676"/>
      <c r="F111" s="676"/>
      <c r="G111" s="898"/>
      <c r="H111" s="678"/>
      <c r="I111" s="678"/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915"/>
      <c r="U111" s="678"/>
      <c r="V111" s="678"/>
      <c r="W111" s="678"/>
      <c r="X111" s="678"/>
      <c r="Y111" s="678"/>
      <c r="Z111" s="678"/>
      <c r="AA111" s="678"/>
      <c r="AB111" s="678"/>
      <c r="AC111" s="678"/>
      <c r="AD111" s="678"/>
      <c r="AE111" s="678"/>
      <c r="AF111" s="678"/>
      <c r="AG111" s="915"/>
      <c r="AH111" s="915"/>
      <c r="AI111" s="915"/>
      <c r="AJ111" s="915"/>
      <c r="AK111" s="924"/>
      <c r="AL111" s="924"/>
      <c r="AM111" s="924"/>
      <c r="AN111" s="924"/>
      <c r="AO111" s="995"/>
    </row>
    <row r="112" spans="1:42" s="18" customFormat="1" ht="13.15" customHeight="1" x14ac:dyDescent="0.2">
      <c r="A112" s="674" t="s">
        <v>250</v>
      </c>
      <c r="B112" s="674"/>
      <c r="C112" s="690">
        <f>$G112/12</f>
        <v>4166.666666666667</v>
      </c>
      <c r="D112" s="690">
        <f t="shared" ref="D112:F112" si="296">$G112/12</f>
        <v>4166.666666666667</v>
      </c>
      <c r="E112" s="690">
        <f t="shared" si="296"/>
        <v>4166.666666666667</v>
      </c>
      <c r="F112" s="690">
        <f t="shared" si="296"/>
        <v>4166.666666666667</v>
      </c>
      <c r="G112" s="899">
        <v>50000</v>
      </c>
      <c r="H112" s="690">
        <f t="shared" ref="H112:M112" si="297">$T112/12</f>
        <v>4166.666666666667</v>
      </c>
      <c r="I112" s="690">
        <f t="shared" si="297"/>
        <v>4166.666666666667</v>
      </c>
      <c r="J112" s="690">
        <f t="shared" si="297"/>
        <v>4166.666666666667</v>
      </c>
      <c r="K112" s="690">
        <f t="shared" si="297"/>
        <v>4166.666666666667</v>
      </c>
      <c r="L112" s="690">
        <f t="shared" si="297"/>
        <v>4166.666666666667</v>
      </c>
      <c r="M112" s="690">
        <f t="shared" si="297"/>
        <v>4166.666666666667</v>
      </c>
      <c r="N112" s="690">
        <f t="shared" ref="N112:S112" si="298">$T112/12</f>
        <v>4166.666666666667</v>
      </c>
      <c r="O112" s="690">
        <f t="shared" si="298"/>
        <v>4166.666666666667</v>
      </c>
      <c r="P112" s="690">
        <f t="shared" si="298"/>
        <v>4166.666666666667</v>
      </c>
      <c r="Q112" s="690">
        <f t="shared" si="298"/>
        <v>4166.666666666667</v>
      </c>
      <c r="R112" s="690">
        <f t="shared" si="298"/>
        <v>4166.666666666667</v>
      </c>
      <c r="S112" s="690">
        <f t="shared" si="298"/>
        <v>4166.666666666667</v>
      </c>
      <c r="T112" s="899">
        <v>50000</v>
      </c>
      <c r="U112" s="690">
        <f>$AG112/12</f>
        <v>4375</v>
      </c>
      <c r="V112" s="690">
        <f t="shared" ref="V112:AF112" si="299">$AG112/12</f>
        <v>4375</v>
      </c>
      <c r="W112" s="690">
        <f t="shared" si="299"/>
        <v>4375</v>
      </c>
      <c r="X112" s="690">
        <f t="shared" si="299"/>
        <v>4375</v>
      </c>
      <c r="Y112" s="690">
        <f t="shared" si="299"/>
        <v>4375</v>
      </c>
      <c r="Z112" s="690">
        <f t="shared" si="299"/>
        <v>4375</v>
      </c>
      <c r="AA112" s="690">
        <f t="shared" si="299"/>
        <v>4375</v>
      </c>
      <c r="AB112" s="690">
        <f t="shared" si="299"/>
        <v>4375</v>
      </c>
      <c r="AC112" s="690">
        <f t="shared" si="299"/>
        <v>4375</v>
      </c>
      <c r="AD112" s="690">
        <f t="shared" si="299"/>
        <v>4375</v>
      </c>
      <c r="AE112" s="690">
        <f t="shared" si="299"/>
        <v>4375</v>
      </c>
      <c r="AF112" s="690">
        <f t="shared" si="299"/>
        <v>4375</v>
      </c>
      <c r="AG112" s="902">
        <f>T112*(1+AG113)</f>
        <v>52500</v>
      </c>
      <c r="AH112" s="902">
        <f t="shared" ref="AH112:AO112" si="300">AG112*(1+AH113)</f>
        <v>55125</v>
      </c>
      <c r="AI112" s="902">
        <f t="shared" si="300"/>
        <v>57330</v>
      </c>
      <c r="AJ112" s="902">
        <f t="shared" si="300"/>
        <v>59049.9</v>
      </c>
      <c r="AK112" s="902">
        <f t="shared" si="300"/>
        <v>60230.898000000001</v>
      </c>
      <c r="AL112" s="902">
        <f t="shared" si="300"/>
        <v>60833.206980000003</v>
      </c>
      <c r="AM112" s="902">
        <f t="shared" si="300"/>
        <v>60833.206980000003</v>
      </c>
      <c r="AN112" s="902">
        <f t="shared" si="300"/>
        <v>60833.206980000003</v>
      </c>
      <c r="AO112" s="996">
        <f t="shared" si="300"/>
        <v>60833.206980000003</v>
      </c>
    </row>
    <row r="113" spans="1:42" s="987" customFormat="1" ht="13.15" customHeight="1" x14ac:dyDescent="0.2">
      <c r="A113" s="680" t="s">
        <v>324</v>
      </c>
      <c r="B113" s="680"/>
      <c r="C113" s="687"/>
      <c r="D113" s="687"/>
      <c r="E113" s="687"/>
      <c r="F113" s="687"/>
      <c r="G113" s="900"/>
      <c r="H113" s="687"/>
      <c r="I113" s="687"/>
      <c r="J113" s="687"/>
      <c r="K113" s="687"/>
      <c r="L113" s="687"/>
      <c r="M113" s="687"/>
      <c r="N113" s="687"/>
      <c r="O113" s="687"/>
      <c r="P113" s="687"/>
      <c r="Q113" s="687"/>
      <c r="R113" s="687"/>
      <c r="S113" s="687"/>
      <c r="T113" s="916"/>
      <c r="U113" s="687"/>
      <c r="V113" s="687"/>
      <c r="W113" s="687"/>
      <c r="X113" s="687"/>
      <c r="Y113" s="687"/>
      <c r="Z113" s="687"/>
      <c r="AA113" s="687"/>
      <c r="AB113" s="687"/>
      <c r="AC113" s="687"/>
      <c r="AD113" s="687"/>
      <c r="AE113" s="687"/>
      <c r="AF113" s="687"/>
      <c r="AG113" s="921">
        <v>0.05</v>
      </c>
      <c r="AH113" s="921">
        <v>0.05</v>
      </c>
      <c r="AI113" s="921">
        <f>AH113-1%</f>
        <v>0.04</v>
      </c>
      <c r="AJ113" s="921">
        <f>AI113-1%</f>
        <v>0.03</v>
      </c>
      <c r="AK113" s="921">
        <f>AJ113-1%</f>
        <v>1.9999999999999997E-2</v>
      </c>
      <c r="AL113" s="921">
        <f>AK113-1%</f>
        <v>9.9999999999999967E-3</v>
      </c>
      <c r="AM113" s="921">
        <f>AL113-1%</f>
        <v>0</v>
      </c>
      <c r="AN113" s="925">
        <f>AM113</f>
        <v>0</v>
      </c>
      <c r="AO113" s="997">
        <f>AN113</f>
        <v>0</v>
      </c>
    </row>
    <row r="114" spans="1:42" s="987" customFormat="1" ht="13.15" customHeight="1" x14ac:dyDescent="0.2">
      <c r="A114" s="680" t="s">
        <v>248</v>
      </c>
      <c r="B114" s="680"/>
      <c r="C114" s="687">
        <f t="shared" ref="C114:F114" si="301">C87</f>
        <v>0</v>
      </c>
      <c r="D114" s="687">
        <f t="shared" si="301"/>
        <v>0</v>
      </c>
      <c r="E114" s="687">
        <f t="shared" si="301"/>
        <v>0</v>
      </c>
      <c r="F114" s="687">
        <f t="shared" si="301"/>
        <v>0</v>
      </c>
      <c r="G114" s="900">
        <f>F114</f>
        <v>0</v>
      </c>
      <c r="H114" s="687">
        <f t="shared" ref="H114:M114" si="302">H87</f>
        <v>0</v>
      </c>
      <c r="I114" s="687">
        <f t="shared" si="302"/>
        <v>0</v>
      </c>
      <c r="J114" s="687">
        <f t="shared" si="302"/>
        <v>0</v>
      </c>
      <c r="K114" s="687">
        <f t="shared" si="302"/>
        <v>0</v>
      </c>
      <c r="L114" s="687">
        <f t="shared" si="302"/>
        <v>0</v>
      </c>
      <c r="M114" s="687">
        <f t="shared" si="302"/>
        <v>0</v>
      </c>
      <c r="N114" s="687">
        <f t="shared" ref="N114:S114" si="303">N87</f>
        <v>0</v>
      </c>
      <c r="O114" s="687">
        <f t="shared" si="303"/>
        <v>0</v>
      </c>
      <c r="P114" s="687">
        <f t="shared" si="303"/>
        <v>0</v>
      </c>
      <c r="Q114" s="687">
        <f t="shared" si="303"/>
        <v>0</v>
      </c>
      <c r="R114" s="687">
        <f t="shared" si="303"/>
        <v>0</v>
      </c>
      <c r="S114" s="687">
        <f t="shared" si="303"/>
        <v>0</v>
      </c>
      <c r="T114" s="916">
        <f>S114</f>
        <v>0</v>
      </c>
      <c r="U114" s="687">
        <f>U87</f>
        <v>0</v>
      </c>
      <c r="V114" s="687">
        <f t="shared" ref="V114:AO114" si="304">V87</f>
        <v>0</v>
      </c>
      <c r="W114" s="687">
        <f t="shared" si="304"/>
        <v>0</v>
      </c>
      <c r="X114" s="687">
        <f t="shared" si="304"/>
        <v>0</v>
      </c>
      <c r="Y114" s="687">
        <f t="shared" si="304"/>
        <v>0</v>
      </c>
      <c r="Z114" s="687">
        <f t="shared" si="304"/>
        <v>0</v>
      </c>
      <c r="AA114" s="687">
        <f t="shared" si="304"/>
        <v>0</v>
      </c>
      <c r="AB114" s="687">
        <f t="shared" si="304"/>
        <v>0</v>
      </c>
      <c r="AC114" s="687">
        <f t="shared" si="304"/>
        <v>0</v>
      </c>
      <c r="AD114" s="687">
        <f t="shared" si="304"/>
        <v>0</v>
      </c>
      <c r="AE114" s="687">
        <f t="shared" si="304"/>
        <v>0</v>
      </c>
      <c r="AF114" s="687">
        <f t="shared" si="304"/>
        <v>0</v>
      </c>
      <c r="AG114" s="916">
        <f>AF114</f>
        <v>0</v>
      </c>
      <c r="AH114" s="921">
        <f t="shared" si="304"/>
        <v>1.0000000000000002E-2</v>
      </c>
      <c r="AI114" s="921">
        <f t="shared" si="304"/>
        <v>2.5000000000000001E-2</v>
      </c>
      <c r="AJ114" s="921">
        <f t="shared" si="304"/>
        <v>0.05</v>
      </c>
      <c r="AK114" s="921">
        <f t="shared" si="304"/>
        <v>0.1</v>
      </c>
      <c r="AL114" s="921">
        <f t="shared" si="304"/>
        <v>0.12</v>
      </c>
      <c r="AM114" s="921">
        <f t="shared" si="304"/>
        <v>0.13999999999999999</v>
      </c>
      <c r="AN114" s="921">
        <f t="shared" si="304"/>
        <v>0.15999999999999998</v>
      </c>
      <c r="AO114" s="1004">
        <f t="shared" si="304"/>
        <v>0.17999999999999997</v>
      </c>
    </row>
    <row r="115" spans="1:42" s="18" customFormat="1" ht="13.15" customHeight="1" x14ac:dyDescent="0.2">
      <c r="A115" s="680" t="s">
        <v>251</v>
      </c>
      <c r="B115" s="680"/>
      <c r="C115" s="690">
        <f t="shared" ref="C115:F115" si="305">C112*C114</f>
        <v>0</v>
      </c>
      <c r="D115" s="690">
        <f t="shared" si="305"/>
        <v>0</v>
      </c>
      <c r="E115" s="690">
        <f t="shared" si="305"/>
        <v>0</v>
      </c>
      <c r="F115" s="690">
        <f t="shared" si="305"/>
        <v>0</v>
      </c>
      <c r="G115" s="902">
        <f>SUM(C115:F115)</f>
        <v>0</v>
      </c>
      <c r="H115" s="690">
        <f t="shared" ref="H115:M115" si="306">H112*H114</f>
        <v>0</v>
      </c>
      <c r="I115" s="690">
        <f t="shared" si="306"/>
        <v>0</v>
      </c>
      <c r="J115" s="690">
        <f t="shared" si="306"/>
        <v>0</v>
      </c>
      <c r="K115" s="690">
        <f t="shared" si="306"/>
        <v>0</v>
      </c>
      <c r="L115" s="690">
        <f t="shared" si="306"/>
        <v>0</v>
      </c>
      <c r="M115" s="690">
        <f t="shared" si="306"/>
        <v>0</v>
      </c>
      <c r="N115" s="690">
        <f t="shared" ref="N115:S115" si="307">N112*N114</f>
        <v>0</v>
      </c>
      <c r="O115" s="690">
        <f t="shared" si="307"/>
        <v>0</v>
      </c>
      <c r="P115" s="690">
        <f t="shared" si="307"/>
        <v>0</v>
      </c>
      <c r="Q115" s="690">
        <f t="shared" si="307"/>
        <v>0</v>
      </c>
      <c r="R115" s="690">
        <f t="shared" si="307"/>
        <v>0</v>
      </c>
      <c r="S115" s="690">
        <f t="shared" si="307"/>
        <v>0</v>
      </c>
      <c r="T115" s="917">
        <f>SUM(H115:S115)</f>
        <v>0</v>
      </c>
      <c r="U115" s="690">
        <f t="shared" ref="U115:AF115" si="308">U112*U114</f>
        <v>0</v>
      </c>
      <c r="V115" s="690">
        <f t="shared" si="308"/>
        <v>0</v>
      </c>
      <c r="W115" s="690">
        <f t="shared" si="308"/>
        <v>0</v>
      </c>
      <c r="X115" s="690">
        <f t="shared" si="308"/>
        <v>0</v>
      </c>
      <c r="Y115" s="690">
        <f t="shared" si="308"/>
        <v>0</v>
      </c>
      <c r="Z115" s="690">
        <f t="shared" si="308"/>
        <v>0</v>
      </c>
      <c r="AA115" s="690">
        <f t="shared" si="308"/>
        <v>0</v>
      </c>
      <c r="AB115" s="690">
        <f t="shared" si="308"/>
        <v>0</v>
      </c>
      <c r="AC115" s="690">
        <f t="shared" si="308"/>
        <v>0</v>
      </c>
      <c r="AD115" s="690">
        <f t="shared" si="308"/>
        <v>0</v>
      </c>
      <c r="AE115" s="690">
        <f t="shared" si="308"/>
        <v>0</v>
      </c>
      <c r="AF115" s="690">
        <f t="shared" si="308"/>
        <v>0</v>
      </c>
      <c r="AG115" s="902">
        <f>SUM(U115:AF115)</f>
        <v>0</v>
      </c>
      <c r="AH115" s="902">
        <f>AH112*AVERAGE(AF114,AH114)</f>
        <v>275.62500000000006</v>
      </c>
      <c r="AI115" s="902">
        <f t="shared" ref="AI115:AO115" si="309">AI112*AVERAGE(AH114,AI114)</f>
        <v>1003.2750000000001</v>
      </c>
      <c r="AJ115" s="902">
        <f t="shared" si="309"/>
        <v>2214.3712500000006</v>
      </c>
      <c r="AK115" s="902">
        <f t="shared" si="309"/>
        <v>4517.3173500000012</v>
      </c>
      <c r="AL115" s="902">
        <f t="shared" si="309"/>
        <v>6691.6527678000002</v>
      </c>
      <c r="AM115" s="902">
        <f t="shared" si="309"/>
        <v>7908.3169074000007</v>
      </c>
      <c r="AN115" s="902">
        <f t="shared" si="309"/>
        <v>9124.9810469999975</v>
      </c>
      <c r="AO115" s="996">
        <f t="shared" si="309"/>
        <v>10341.645186599999</v>
      </c>
    </row>
    <row r="116" spans="1:42" s="18" customFormat="1" ht="13.15" customHeight="1" x14ac:dyDescent="0.2">
      <c r="A116" s="680" t="s">
        <v>249</v>
      </c>
      <c r="B116" s="680"/>
      <c r="C116" s="686">
        <v>3.5</v>
      </c>
      <c r="D116" s="686">
        <f>C116</f>
        <v>3.5</v>
      </c>
      <c r="E116" s="686">
        <f t="shared" ref="E116:F116" si="310">D116</f>
        <v>3.5</v>
      </c>
      <c r="F116" s="686">
        <f t="shared" si="310"/>
        <v>3.5</v>
      </c>
      <c r="G116" s="903">
        <f>F116</f>
        <v>3.5</v>
      </c>
      <c r="H116" s="686">
        <f>F116</f>
        <v>3.5</v>
      </c>
      <c r="I116" s="686">
        <f>H116</f>
        <v>3.5</v>
      </c>
      <c r="J116" s="686">
        <f t="shared" ref="J116:S116" si="311">I116</f>
        <v>3.5</v>
      </c>
      <c r="K116" s="686">
        <f t="shared" si="311"/>
        <v>3.5</v>
      </c>
      <c r="L116" s="686">
        <f t="shared" si="311"/>
        <v>3.5</v>
      </c>
      <c r="M116" s="686">
        <f t="shared" si="311"/>
        <v>3.5</v>
      </c>
      <c r="N116" s="686">
        <f t="shared" si="311"/>
        <v>3.5</v>
      </c>
      <c r="O116" s="686">
        <f t="shared" si="311"/>
        <v>3.5</v>
      </c>
      <c r="P116" s="686">
        <f t="shared" si="311"/>
        <v>3.5</v>
      </c>
      <c r="Q116" s="686">
        <f t="shared" si="311"/>
        <v>3.5</v>
      </c>
      <c r="R116" s="686">
        <f t="shared" si="311"/>
        <v>3.5</v>
      </c>
      <c r="S116" s="686">
        <f t="shared" si="311"/>
        <v>3.5</v>
      </c>
      <c r="T116" s="903">
        <f t="shared" ref="T116" si="312">S116</f>
        <v>3.5</v>
      </c>
      <c r="U116" s="686">
        <f>S116</f>
        <v>3.5</v>
      </c>
      <c r="V116" s="686">
        <f t="shared" ref="V116:AG116" si="313">U116</f>
        <v>3.5</v>
      </c>
      <c r="W116" s="686">
        <f t="shared" si="313"/>
        <v>3.5</v>
      </c>
      <c r="X116" s="686">
        <f t="shared" si="313"/>
        <v>3.5</v>
      </c>
      <c r="Y116" s="686">
        <f t="shared" si="313"/>
        <v>3.5</v>
      </c>
      <c r="Z116" s="686">
        <f t="shared" si="313"/>
        <v>3.5</v>
      </c>
      <c r="AA116" s="686">
        <f t="shared" si="313"/>
        <v>3.5</v>
      </c>
      <c r="AB116" s="686">
        <f t="shared" si="313"/>
        <v>3.5</v>
      </c>
      <c r="AC116" s="686">
        <f t="shared" si="313"/>
        <v>3.5</v>
      </c>
      <c r="AD116" s="686">
        <f t="shared" si="313"/>
        <v>3.5</v>
      </c>
      <c r="AE116" s="686">
        <f t="shared" si="313"/>
        <v>3.5</v>
      </c>
      <c r="AF116" s="686">
        <f t="shared" si="313"/>
        <v>3.5</v>
      </c>
      <c r="AG116" s="919">
        <f t="shared" si="313"/>
        <v>3.5</v>
      </c>
      <c r="AH116" s="919">
        <f>AF116</f>
        <v>3.5</v>
      </c>
      <c r="AI116" s="919">
        <f t="shared" ref="AI116:AO116" si="314">AH116</f>
        <v>3.5</v>
      </c>
      <c r="AJ116" s="919">
        <f t="shared" si="314"/>
        <v>3.5</v>
      </c>
      <c r="AK116" s="919">
        <f t="shared" si="314"/>
        <v>3.5</v>
      </c>
      <c r="AL116" s="919">
        <f t="shared" si="314"/>
        <v>3.5</v>
      </c>
      <c r="AM116" s="919">
        <f t="shared" si="314"/>
        <v>3.5</v>
      </c>
      <c r="AN116" s="919">
        <f t="shared" si="314"/>
        <v>3.5</v>
      </c>
      <c r="AO116" s="998">
        <f t="shared" si="314"/>
        <v>3.5</v>
      </c>
    </row>
    <row r="117" spans="1:42" s="18" customFormat="1" ht="13.15" customHeight="1" x14ac:dyDescent="0.2">
      <c r="A117" s="680" t="s">
        <v>255</v>
      </c>
      <c r="B117" s="680"/>
      <c r="C117" s="690">
        <f t="shared" ref="C117:F117" si="315">C115*C116</f>
        <v>0</v>
      </c>
      <c r="D117" s="690">
        <f t="shared" si="315"/>
        <v>0</v>
      </c>
      <c r="E117" s="690">
        <f t="shared" si="315"/>
        <v>0</v>
      </c>
      <c r="F117" s="690">
        <f t="shared" si="315"/>
        <v>0</v>
      </c>
      <c r="G117" s="902">
        <f>SUM(C117:F117)</f>
        <v>0</v>
      </c>
      <c r="H117" s="690">
        <f t="shared" ref="H117:M117" si="316">H115*H116</f>
        <v>0</v>
      </c>
      <c r="I117" s="690">
        <f t="shared" si="316"/>
        <v>0</v>
      </c>
      <c r="J117" s="690">
        <f t="shared" si="316"/>
        <v>0</v>
      </c>
      <c r="K117" s="690">
        <f t="shared" si="316"/>
        <v>0</v>
      </c>
      <c r="L117" s="690">
        <f t="shared" si="316"/>
        <v>0</v>
      </c>
      <c r="M117" s="690">
        <f t="shared" si="316"/>
        <v>0</v>
      </c>
      <c r="N117" s="690">
        <f t="shared" ref="N117:S117" si="317">N115*N116</f>
        <v>0</v>
      </c>
      <c r="O117" s="690">
        <f t="shared" si="317"/>
        <v>0</v>
      </c>
      <c r="P117" s="690">
        <f t="shared" si="317"/>
        <v>0</v>
      </c>
      <c r="Q117" s="690">
        <f t="shared" si="317"/>
        <v>0</v>
      </c>
      <c r="R117" s="690">
        <f t="shared" si="317"/>
        <v>0</v>
      </c>
      <c r="S117" s="690">
        <f t="shared" si="317"/>
        <v>0</v>
      </c>
      <c r="T117" s="918">
        <f>SUM(H117:S117)</f>
        <v>0</v>
      </c>
      <c r="U117" s="690">
        <f t="shared" ref="U117:AF117" si="318">U115*U116</f>
        <v>0</v>
      </c>
      <c r="V117" s="690">
        <f t="shared" si="318"/>
        <v>0</v>
      </c>
      <c r="W117" s="690">
        <f t="shared" si="318"/>
        <v>0</v>
      </c>
      <c r="X117" s="690">
        <f t="shared" si="318"/>
        <v>0</v>
      </c>
      <c r="Y117" s="690">
        <f t="shared" si="318"/>
        <v>0</v>
      </c>
      <c r="Z117" s="690">
        <f t="shared" si="318"/>
        <v>0</v>
      </c>
      <c r="AA117" s="690">
        <f t="shared" si="318"/>
        <v>0</v>
      </c>
      <c r="AB117" s="690">
        <f t="shared" si="318"/>
        <v>0</v>
      </c>
      <c r="AC117" s="690">
        <f t="shared" si="318"/>
        <v>0</v>
      </c>
      <c r="AD117" s="690">
        <f t="shared" si="318"/>
        <v>0</v>
      </c>
      <c r="AE117" s="690">
        <f t="shared" si="318"/>
        <v>0</v>
      </c>
      <c r="AF117" s="690">
        <f t="shared" si="318"/>
        <v>0</v>
      </c>
      <c r="AG117" s="918">
        <f>SUM(U117:AF117)</f>
        <v>0</v>
      </c>
      <c r="AH117" s="902">
        <f t="shared" ref="AH117:AO117" si="319">AH115*AH116</f>
        <v>964.68750000000023</v>
      </c>
      <c r="AI117" s="902">
        <f t="shared" si="319"/>
        <v>3511.4625000000005</v>
      </c>
      <c r="AJ117" s="902">
        <f t="shared" si="319"/>
        <v>7750.2993750000023</v>
      </c>
      <c r="AK117" s="902">
        <f t="shared" si="319"/>
        <v>15810.610725000004</v>
      </c>
      <c r="AL117" s="902">
        <f t="shared" si="319"/>
        <v>23420.784687300002</v>
      </c>
      <c r="AM117" s="902">
        <f t="shared" si="319"/>
        <v>27679.109175900001</v>
      </c>
      <c r="AN117" s="902">
        <f t="shared" si="319"/>
        <v>31937.433664499993</v>
      </c>
      <c r="AO117" s="996">
        <f t="shared" si="319"/>
        <v>36195.758153099996</v>
      </c>
    </row>
    <row r="118" spans="1:42" s="34" customFormat="1" ht="12.4" customHeight="1" x14ac:dyDescent="0.2">
      <c r="A118" s="1"/>
      <c r="B118" s="1"/>
      <c r="C118" s="1"/>
      <c r="D118" s="1"/>
      <c r="E118" s="1"/>
      <c r="F118" s="1"/>
      <c r="G118" s="26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6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268"/>
      <c r="AH118" s="268"/>
      <c r="AI118" s="268"/>
      <c r="AJ118" s="268"/>
      <c r="AK118" s="268"/>
      <c r="AL118" s="268"/>
      <c r="AM118" s="268"/>
      <c r="AN118" s="268"/>
      <c r="AO118" s="999"/>
      <c r="AP118" s="18"/>
    </row>
    <row r="119" spans="1:42" s="18" customFormat="1" ht="13.15" customHeight="1" x14ac:dyDescent="0.2">
      <c r="A119" s="680" t="s">
        <v>253</v>
      </c>
      <c r="B119" s="680"/>
      <c r="C119" s="689">
        <v>0</v>
      </c>
      <c r="D119" s="689">
        <v>0</v>
      </c>
      <c r="E119" s="689">
        <v>0</v>
      </c>
      <c r="F119" s="689">
        <v>0</v>
      </c>
      <c r="G119" s="902">
        <f>F119</f>
        <v>0</v>
      </c>
      <c r="H119" s="689">
        <v>0</v>
      </c>
      <c r="I119" s="689">
        <v>0</v>
      </c>
      <c r="J119" s="689">
        <v>0</v>
      </c>
      <c r="K119" s="689">
        <v>0</v>
      </c>
      <c r="L119" s="689">
        <v>0</v>
      </c>
      <c r="M119" s="689">
        <v>0</v>
      </c>
      <c r="N119" s="689">
        <v>0</v>
      </c>
      <c r="O119" s="689">
        <v>0</v>
      </c>
      <c r="P119" s="689">
        <v>0</v>
      </c>
      <c r="Q119" s="689">
        <v>0</v>
      </c>
      <c r="R119" s="689">
        <v>0</v>
      </c>
      <c r="S119" s="689">
        <v>0</v>
      </c>
      <c r="T119" s="902">
        <f>S119</f>
        <v>0</v>
      </c>
      <c r="U119" s="689">
        <f>S119</f>
        <v>0</v>
      </c>
      <c r="V119" s="689">
        <f>U119</f>
        <v>0</v>
      </c>
      <c r="W119" s="689">
        <f t="shared" ref="W119:AF119" si="320">V119</f>
        <v>0</v>
      </c>
      <c r="X119" s="689">
        <f t="shared" si="320"/>
        <v>0</v>
      </c>
      <c r="Y119" s="689">
        <f t="shared" si="320"/>
        <v>0</v>
      </c>
      <c r="Z119" s="689">
        <f t="shared" si="320"/>
        <v>0</v>
      </c>
      <c r="AA119" s="689">
        <f t="shared" si="320"/>
        <v>0</v>
      </c>
      <c r="AB119" s="689">
        <f t="shared" si="320"/>
        <v>0</v>
      </c>
      <c r="AC119" s="689">
        <f t="shared" si="320"/>
        <v>0</v>
      </c>
      <c r="AD119" s="689">
        <f t="shared" si="320"/>
        <v>0</v>
      </c>
      <c r="AE119" s="689">
        <f t="shared" si="320"/>
        <v>0</v>
      </c>
      <c r="AF119" s="689">
        <f t="shared" si="320"/>
        <v>0</v>
      </c>
      <c r="AG119" s="902">
        <f>AF119</f>
        <v>0</v>
      </c>
      <c r="AH119" s="899">
        <f>AF119</f>
        <v>0</v>
      </c>
      <c r="AI119" s="899">
        <f>AH119</f>
        <v>0</v>
      </c>
      <c r="AJ119" s="899">
        <f t="shared" ref="AJ119:AO119" si="321">AI119</f>
        <v>0</v>
      </c>
      <c r="AK119" s="899">
        <f t="shared" si="321"/>
        <v>0</v>
      </c>
      <c r="AL119" s="899">
        <f t="shared" si="321"/>
        <v>0</v>
      </c>
      <c r="AM119" s="899">
        <f t="shared" si="321"/>
        <v>0</v>
      </c>
      <c r="AN119" s="899">
        <f t="shared" si="321"/>
        <v>0</v>
      </c>
      <c r="AO119" s="1000">
        <f t="shared" si="321"/>
        <v>0</v>
      </c>
    </row>
    <row r="120" spans="1:42" s="18" customFormat="1" ht="13.15" customHeight="1" x14ac:dyDescent="0.2">
      <c r="A120" s="680" t="s">
        <v>252</v>
      </c>
      <c r="B120" s="680"/>
      <c r="C120" s="689">
        <v>0</v>
      </c>
      <c r="D120" s="689">
        <v>0</v>
      </c>
      <c r="E120" s="689">
        <v>0</v>
      </c>
      <c r="F120" s="689">
        <v>0</v>
      </c>
      <c r="G120" s="902">
        <f>SUM(C120:F120)</f>
        <v>0</v>
      </c>
      <c r="H120" s="689">
        <v>0</v>
      </c>
      <c r="I120" s="689">
        <v>0</v>
      </c>
      <c r="J120" s="689">
        <v>0</v>
      </c>
      <c r="K120" s="689">
        <v>0</v>
      </c>
      <c r="L120" s="689">
        <v>0</v>
      </c>
      <c r="M120" s="689">
        <v>0</v>
      </c>
      <c r="N120" s="689">
        <f t="shared" ref="N120:S120" si="322">100/12</f>
        <v>8.3333333333333339</v>
      </c>
      <c r="O120" s="689">
        <f t="shared" si="322"/>
        <v>8.3333333333333339</v>
      </c>
      <c r="P120" s="689">
        <f t="shared" si="322"/>
        <v>8.3333333333333339</v>
      </c>
      <c r="Q120" s="689">
        <f t="shared" si="322"/>
        <v>8.3333333333333339</v>
      </c>
      <c r="R120" s="689">
        <f t="shared" si="322"/>
        <v>8.3333333333333339</v>
      </c>
      <c r="S120" s="689">
        <f t="shared" si="322"/>
        <v>8.3333333333333339</v>
      </c>
      <c r="T120" s="917">
        <f>SUM(H120:S120)</f>
        <v>50.000000000000007</v>
      </c>
      <c r="U120" s="689">
        <f t="shared" ref="U120:AF120" si="323">100/12</f>
        <v>8.3333333333333339</v>
      </c>
      <c r="V120" s="689">
        <f t="shared" si="323"/>
        <v>8.3333333333333339</v>
      </c>
      <c r="W120" s="689">
        <f t="shared" si="323"/>
        <v>8.3333333333333339</v>
      </c>
      <c r="X120" s="689">
        <f t="shared" si="323"/>
        <v>8.3333333333333339</v>
      </c>
      <c r="Y120" s="689">
        <f t="shared" si="323"/>
        <v>8.3333333333333339</v>
      </c>
      <c r="Z120" s="689">
        <f t="shared" si="323"/>
        <v>8.3333333333333339</v>
      </c>
      <c r="AA120" s="689">
        <f t="shared" si="323"/>
        <v>8.3333333333333339</v>
      </c>
      <c r="AB120" s="689">
        <f t="shared" si="323"/>
        <v>8.3333333333333339</v>
      </c>
      <c r="AC120" s="689">
        <f t="shared" si="323"/>
        <v>8.3333333333333339</v>
      </c>
      <c r="AD120" s="689">
        <f t="shared" si="323"/>
        <v>8.3333333333333339</v>
      </c>
      <c r="AE120" s="689">
        <f t="shared" si="323"/>
        <v>8.3333333333333339</v>
      </c>
      <c r="AF120" s="689">
        <f t="shared" si="323"/>
        <v>8.3333333333333339</v>
      </c>
      <c r="AG120" s="917">
        <f>SUM(U120:AF120)</f>
        <v>99.999999999999986</v>
      </c>
      <c r="AH120" s="899">
        <v>100</v>
      </c>
      <c r="AI120" s="899">
        <v>100</v>
      </c>
      <c r="AJ120" s="899">
        <v>100</v>
      </c>
      <c r="AK120" s="899">
        <v>100</v>
      </c>
      <c r="AL120" s="899">
        <v>100</v>
      </c>
      <c r="AM120" s="899">
        <v>100</v>
      </c>
      <c r="AN120" s="899">
        <v>100</v>
      </c>
      <c r="AO120" s="1000">
        <v>100</v>
      </c>
    </row>
    <row r="121" spans="1:42" s="18" customFormat="1" ht="13.15" customHeight="1" x14ac:dyDescent="0.2">
      <c r="A121" s="680" t="s">
        <v>254</v>
      </c>
      <c r="B121" s="680"/>
      <c r="C121" s="690">
        <f t="shared" ref="C121:F121" si="324">C119*C120</f>
        <v>0</v>
      </c>
      <c r="D121" s="690">
        <f t="shared" si="324"/>
        <v>0</v>
      </c>
      <c r="E121" s="690">
        <f t="shared" si="324"/>
        <v>0</v>
      </c>
      <c r="F121" s="690">
        <f t="shared" si="324"/>
        <v>0</v>
      </c>
      <c r="G121" s="902">
        <f>SUM(C121:F121)</f>
        <v>0</v>
      </c>
      <c r="H121" s="690">
        <f t="shared" ref="H121:M121" si="325">H119*H120</f>
        <v>0</v>
      </c>
      <c r="I121" s="690">
        <f t="shared" si="325"/>
        <v>0</v>
      </c>
      <c r="J121" s="690">
        <f t="shared" si="325"/>
        <v>0</v>
      </c>
      <c r="K121" s="690">
        <f t="shared" si="325"/>
        <v>0</v>
      </c>
      <c r="L121" s="690">
        <f t="shared" si="325"/>
        <v>0</v>
      </c>
      <c r="M121" s="690">
        <f t="shared" si="325"/>
        <v>0</v>
      </c>
      <c r="N121" s="690">
        <f t="shared" ref="N121:S121" si="326">N119*N120</f>
        <v>0</v>
      </c>
      <c r="O121" s="690">
        <f t="shared" si="326"/>
        <v>0</v>
      </c>
      <c r="P121" s="690">
        <f t="shared" si="326"/>
        <v>0</v>
      </c>
      <c r="Q121" s="690">
        <f t="shared" si="326"/>
        <v>0</v>
      </c>
      <c r="R121" s="690">
        <f t="shared" si="326"/>
        <v>0</v>
      </c>
      <c r="S121" s="690">
        <f t="shared" si="326"/>
        <v>0</v>
      </c>
      <c r="T121" s="917">
        <f>SUM(H121:S121)</f>
        <v>0</v>
      </c>
      <c r="U121" s="690">
        <f t="shared" ref="U121:AF121" si="327">U119*U120</f>
        <v>0</v>
      </c>
      <c r="V121" s="690">
        <f t="shared" si="327"/>
        <v>0</v>
      </c>
      <c r="W121" s="690">
        <f t="shared" si="327"/>
        <v>0</v>
      </c>
      <c r="X121" s="690">
        <f t="shared" si="327"/>
        <v>0</v>
      </c>
      <c r="Y121" s="690">
        <f t="shared" si="327"/>
        <v>0</v>
      </c>
      <c r="Z121" s="690">
        <f t="shared" si="327"/>
        <v>0</v>
      </c>
      <c r="AA121" s="690">
        <f t="shared" si="327"/>
        <v>0</v>
      </c>
      <c r="AB121" s="690">
        <f t="shared" si="327"/>
        <v>0</v>
      </c>
      <c r="AC121" s="690">
        <f t="shared" si="327"/>
        <v>0</v>
      </c>
      <c r="AD121" s="690">
        <f t="shared" si="327"/>
        <v>0</v>
      </c>
      <c r="AE121" s="690">
        <f t="shared" si="327"/>
        <v>0</v>
      </c>
      <c r="AF121" s="690">
        <f t="shared" si="327"/>
        <v>0</v>
      </c>
      <c r="AG121" s="902">
        <f>SUM(U121:AF121)</f>
        <v>0</v>
      </c>
      <c r="AH121" s="902">
        <f t="shared" ref="AH121:AO121" si="328">AH119*AH120</f>
        <v>0</v>
      </c>
      <c r="AI121" s="902">
        <f t="shared" si="328"/>
        <v>0</v>
      </c>
      <c r="AJ121" s="902">
        <f t="shared" si="328"/>
        <v>0</v>
      </c>
      <c r="AK121" s="902">
        <f t="shared" si="328"/>
        <v>0</v>
      </c>
      <c r="AL121" s="902">
        <f t="shared" si="328"/>
        <v>0</v>
      </c>
      <c r="AM121" s="902">
        <f t="shared" si="328"/>
        <v>0</v>
      </c>
      <c r="AN121" s="902">
        <f t="shared" si="328"/>
        <v>0</v>
      </c>
      <c r="AO121" s="996">
        <f t="shared" si="328"/>
        <v>0</v>
      </c>
    </row>
    <row r="122" spans="1:42" s="18" customFormat="1" ht="13.15" customHeight="1" x14ac:dyDescent="0.2">
      <c r="A122" s="680" t="s">
        <v>249</v>
      </c>
      <c r="B122" s="680"/>
      <c r="C122" s="686">
        <f t="shared" ref="C122:F122" si="329">C116</f>
        <v>3.5</v>
      </c>
      <c r="D122" s="686">
        <f t="shared" si="329"/>
        <v>3.5</v>
      </c>
      <c r="E122" s="686">
        <f t="shared" si="329"/>
        <v>3.5</v>
      </c>
      <c r="F122" s="686">
        <f t="shared" si="329"/>
        <v>3.5</v>
      </c>
      <c r="G122" s="903">
        <f>F122</f>
        <v>3.5</v>
      </c>
      <c r="H122" s="686">
        <f t="shared" ref="H122" si="330">H116</f>
        <v>3.5</v>
      </c>
      <c r="I122" s="686">
        <f t="shared" ref="I122:M122" si="331">I116</f>
        <v>3.5</v>
      </c>
      <c r="J122" s="686">
        <f t="shared" si="331"/>
        <v>3.5</v>
      </c>
      <c r="K122" s="686">
        <f t="shared" si="331"/>
        <v>3.5</v>
      </c>
      <c r="L122" s="686">
        <f t="shared" si="331"/>
        <v>3.5</v>
      </c>
      <c r="M122" s="686">
        <f t="shared" si="331"/>
        <v>3.5</v>
      </c>
      <c r="N122" s="686">
        <f t="shared" ref="N122:AO122" si="332">N116</f>
        <v>3.5</v>
      </c>
      <c r="O122" s="686">
        <f t="shared" si="332"/>
        <v>3.5</v>
      </c>
      <c r="P122" s="686">
        <f t="shared" si="332"/>
        <v>3.5</v>
      </c>
      <c r="Q122" s="686">
        <f t="shared" si="332"/>
        <v>3.5</v>
      </c>
      <c r="R122" s="686">
        <f t="shared" si="332"/>
        <v>3.5</v>
      </c>
      <c r="S122" s="686">
        <f t="shared" si="332"/>
        <v>3.5</v>
      </c>
      <c r="T122" s="919">
        <f t="shared" si="332"/>
        <v>3.5</v>
      </c>
      <c r="U122" s="686">
        <f t="shared" si="332"/>
        <v>3.5</v>
      </c>
      <c r="V122" s="686">
        <f t="shared" si="332"/>
        <v>3.5</v>
      </c>
      <c r="W122" s="686">
        <f t="shared" si="332"/>
        <v>3.5</v>
      </c>
      <c r="X122" s="686">
        <f t="shared" si="332"/>
        <v>3.5</v>
      </c>
      <c r="Y122" s="686">
        <f t="shared" si="332"/>
        <v>3.5</v>
      </c>
      <c r="Z122" s="686">
        <f t="shared" si="332"/>
        <v>3.5</v>
      </c>
      <c r="AA122" s="686">
        <f t="shared" si="332"/>
        <v>3.5</v>
      </c>
      <c r="AB122" s="686">
        <f t="shared" si="332"/>
        <v>3.5</v>
      </c>
      <c r="AC122" s="686">
        <f t="shared" si="332"/>
        <v>3.5</v>
      </c>
      <c r="AD122" s="686">
        <f t="shared" si="332"/>
        <v>3.5</v>
      </c>
      <c r="AE122" s="686">
        <f t="shared" si="332"/>
        <v>3.5</v>
      </c>
      <c r="AF122" s="686">
        <f t="shared" si="332"/>
        <v>3.5</v>
      </c>
      <c r="AG122" s="919">
        <f t="shared" si="332"/>
        <v>3.5</v>
      </c>
      <c r="AH122" s="919">
        <f t="shared" si="332"/>
        <v>3.5</v>
      </c>
      <c r="AI122" s="919">
        <f t="shared" si="332"/>
        <v>3.5</v>
      </c>
      <c r="AJ122" s="919">
        <f t="shared" si="332"/>
        <v>3.5</v>
      </c>
      <c r="AK122" s="919">
        <f t="shared" si="332"/>
        <v>3.5</v>
      </c>
      <c r="AL122" s="919">
        <f t="shared" si="332"/>
        <v>3.5</v>
      </c>
      <c r="AM122" s="919">
        <f t="shared" si="332"/>
        <v>3.5</v>
      </c>
      <c r="AN122" s="919">
        <f t="shared" si="332"/>
        <v>3.5</v>
      </c>
      <c r="AO122" s="998">
        <f t="shared" si="332"/>
        <v>3.5</v>
      </c>
    </row>
    <row r="123" spans="1:42" s="18" customFormat="1" ht="13.15" customHeight="1" x14ac:dyDescent="0.2">
      <c r="A123" s="680" t="s">
        <v>255</v>
      </c>
      <c r="B123" s="680"/>
      <c r="C123" s="690">
        <f t="shared" ref="C123:F123" si="333">C121*C122</f>
        <v>0</v>
      </c>
      <c r="D123" s="690">
        <f t="shared" si="333"/>
        <v>0</v>
      </c>
      <c r="E123" s="690">
        <f t="shared" si="333"/>
        <v>0</v>
      </c>
      <c r="F123" s="690">
        <f t="shared" si="333"/>
        <v>0</v>
      </c>
      <c r="G123" s="902">
        <f>SUM(C123:F123)</f>
        <v>0</v>
      </c>
      <c r="H123" s="690">
        <f t="shared" ref="H123:M123" si="334">H121*H122</f>
        <v>0</v>
      </c>
      <c r="I123" s="690">
        <f t="shared" si="334"/>
        <v>0</v>
      </c>
      <c r="J123" s="690">
        <f t="shared" si="334"/>
        <v>0</v>
      </c>
      <c r="K123" s="690">
        <f t="shared" si="334"/>
        <v>0</v>
      </c>
      <c r="L123" s="690">
        <f t="shared" si="334"/>
        <v>0</v>
      </c>
      <c r="M123" s="690">
        <f t="shared" si="334"/>
        <v>0</v>
      </c>
      <c r="N123" s="690">
        <f t="shared" ref="N123:S123" si="335">N121*N122</f>
        <v>0</v>
      </c>
      <c r="O123" s="690">
        <f t="shared" si="335"/>
        <v>0</v>
      </c>
      <c r="P123" s="690">
        <f t="shared" si="335"/>
        <v>0</v>
      </c>
      <c r="Q123" s="690">
        <f t="shared" si="335"/>
        <v>0</v>
      </c>
      <c r="R123" s="690">
        <f t="shared" si="335"/>
        <v>0</v>
      </c>
      <c r="S123" s="690">
        <f t="shared" si="335"/>
        <v>0</v>
      </c>
      <c r="T123" s="918">
        <f>SUM(H123:S123)</f>
        <v>0</v>
      </c>
      <c r="U123" s="690">
        <f t="shared" ref="U123:AF123" si="336">U121*U122</f>
        <v>0</v>
      </c>
      <c r="V123" s="690">
        <f t="shared" si="336"/>
        <v>0</v>
      </c>
      <c r="W123" s="690">
        <f t="shared" si="336"/>
        <v>0</v>
      </c>
      <c r="X123" s="690">
        <f t="shared" si="336"/>
        <v>0</v>
      </c>
      <c r="Y123" s="690">
        <f t="shared" si="336"/>
        <v>0</v>
      </c>
      <c r="Z123" s="690">
        <f t="shared" si="336"/>
        <v>0</v>
      </c>
      <c r="AA123" s="690">
        <f t="shared" si="336"/>
        <v>0</v>
      </c>
      <c r="AB123" s="690">
        <f t="shared" si="336"/>
        <v>0</v>
      </c>
      <c r="AC123" s="690">
        <f t="shared" si="336"/>
        <v>0</v>
      </c>
      <c r="AD123" s="690">
        <f t="shared" si="336"/>
        <v>0</v>
      </c>
      <c r="AE123" s="690">
        <f t="shared" si="336"/>
        <v>0</v>
      </c>
      <c r="AF123" s="690">
        <f t="shared" si="336"/>
        <v>0</v>
      </c>
      <c r="AG123" s="918">
        <f>SUM(U123:AF123)</f>
        <v>0</v>
      </c>
      <c r="AH123" s="902">
        <f t="shared" ref="AH123:AO123" si="337">AH121*AH122</f>
        <v>0</v>
      </c>
      <c r="AI123" s="902">
        <f t="shared" si="337"/>
        <v>0</v>
      </c>
      <c r="AJ123" s="902">
        <f t="shared" si="337"/>
        <v>0</v>
      </c>
      <c r="AK123" s="902">
        <f t="shared" si="337"/>
        <v>0</v>
      </c>
      <c r="AL123" s="902">
        <f t="shared" si="337"/>
        <v>0</v>
      </c>
      <c r="AM123" s="902">
        <f t="shared" si="337"/>
        <v>0</v>
      </c>
      <c r="AN123" s="902">
        <f t="shared" si="337"/>
        <v>0</v>
      </c>
      <c r="AO123" s="996">
        <f t="shared" si="337"/>
        <v>0</v>
      </c>
    </row>
    <row r="124" spans="1:42" s="18" customFormat="1" ht="13.15" customHeight="1" x14ac:dyDescent="0.2">
      <c r="A124" s="674"/>
      <c r="B124" s="674"/>
      <c r="C124" s="682"/>
      <c r="D124" s="682"/>
      <c r="E124" s="682"/>
      <c r="F124" s="682"/>
      <c r="G124" s="900"/>
      <c r="H124" s="682"/>
      <c r="I124" s="682"/>
      <c r="J124" s="682"/>
      <c r="K124" s="682"/>
      <c r="L124" s="682"/>
      <c r="M124" s="682"/>
      <c r="N124" s="682"/>
      <c r="O124" s="682"/>
      <c r="P124" s="682"/>
      <c r="Q124" s="682"/>
      <c r="R124" s="682"/>
      <c r="S124" s="682"/>
      <c r="T124" s="917"/>
      <c r="U124" s="682"/>
      <c r="V124" s="682"/>
      <c r="W124" s="682"/>
      <c r="X124" s="682"/>
      <c r="Y124" s="682"/>
      <c r="Z124" s="682"/>
      <c r="AA124" s="682"/>
      <c r="AB124" s="682"/>
      <c r="AC124" s="682"/>
      <c r="AD124" s="682"/>
      <c r="AE124" s="682"/>
      <c r="AF124" s="682"/>
      <c r="AG124" s="917"/>
      <c r="AH124" s="917"/>
      <c r="AI124" s="917"/>
      <c r="AJ124" s="917"/>
      <c r="AK124" s="924"/>
      <c r="AL124" s="924"/>
      <c r="AM124" s="924"/>
      <c r="AN124" s="924"/>
      <c r="AO124" s="995"/>
    </row>
    <row r="125" spans="1:42" s="18" customFormat="1" ht="13.15" customHeight="1" x14ac:dyDescent="0.2">
      <c r="A125" s="680" t="s">
        <v>256</v>
      </c>
      <c r="B125" s="680"/>
      <c r="C125" s="689">
        <v>0</v>
      </c>
      <c r="D125" s="689">
        <v>0</v>
      </c>
      <c r="E125" s="689">
        <v>0</v>
      </c>
      <c r="F125" s="689">
        <v>0</v>
      </c>
      <c r="G125" s="902">
        <f>F125</f>
        <v>0</v>
      </c>
      <c r="H125" s="689">
        <v>0</v>
      </c>
      <c r="I125" s="689">
        <v>0</v>
      </c>
      <c r="J125" s="689">
        <v>0</v>
      </c>
      <c r="K125" s="689">
        <v>0</v>
      </c>
      <c r="L125" s="689">
        <v>0</v>
      </c>
      <c r="M125" s="689">
        <v>0</v>
      </c>
      <c r="N125" s="689">
        <v>0</v>
      </c>
      <c r="O125" s="689">
        <v>0</v>
      </c>
      <c r="P125" s="689">
        <v>0</v>
      </c>
      <c r="Q125" s="689">
        <v>0</v>
      </c>
      <c r="R125" s="689">
        <v>0</v>
      </c>
      <c r="S125" s="689">
        <v>0</v>
      </c>
      <c r="T125" s="902">
        <f>S125</f>
        <v>0</v>
      </c>
      <c r="U125" s="689">
        <f>S125</f>
        <v>0</v>
      </c>
      <c r="V125" s="689">
        <f>U125</f>
        <v>0</v>
      </c>
      <c r="W125" s="689">
        <f t="shared" ref="W125:AF125" si="338">V125</f>
        <v>0</v>
      </c>
      <c r="X125" s="689">
        <f t="shared" si="338"/>
        <v>0</v>
      </c>
      <c r="Y125" s="689">
        <f t="shared" si="338"/>
        <v>0</v>
      </c>
      <c r="Z125" s="689">
        <f t="shared" si="338"/>
        <v>0</v>
      </c>
      <c r="AA125" s="689">
        <f t="shared" si="338"/>
        <v>0</v>
      </c>
      <c r="AB125" s="689">
        <f t="shared" si="338"/>
        <v>0</v>
      </c>
      <c r="AC125" s="689">
        <f t="shared" si="338"/>
        <v>0</v>
      </c>
      <c r="AD125" s="689">
        <f t="shared" si="338"/>
        <v>0</v>
      </c>
      <c r="AE125" s="689">
        <f t="shared" si="338"/>
        <v>0</v>
      </c>
      <c r="AF125" s="689">
        <f t="shared" si="338"/>
        <v>0</v>
      </c>
      <c r="AG125" s="902">
        <f>AF125</f>
        <v>0</v>
      </c>
      <c r="AH125" s="899">
        <f>AF125</f>
        <v>0</v>
      </c>
      <c r="AI125" s="899">
        <f>AH125</f>
        <v>0</v>
      </c>
      <c r="AJ125" s="899">
        <f t="shared" ref="AJ125:AO125" si="339">AI125</f>
        <v>0</v>
      </c>
      <c r="AK125" s="899">
        <f t="shared" si="339"/>
        <v>0</v>
      </c>
      <c r="AL125" s="899">
        <f t="shared" si="339"/>
        <v>0</v>
      </c>
      <c r="AM125" s="899">
        <f t="shared" si="339"/>
        <v>0</v>
      </c>
      <c r="AN125" s="899">
        <f t="shared" si="339"/>
        <v>0</v>
      </c>
      <c r="AO125" s="1000">
        <f t="shared" si="339"/>
        <v>0</v>
      </c>
    </row>
    <row r="126" spans="1:42" s="18" customFormat="1" ht="13.15" customHeight="1" x14ac:dyDescent="0.2">
      <c r="A126" s="680" t="s">
        <v>252</v>
      </c>
      <c r="B126" s="680"/>
      <c r="C126" s="689">
        <v>0</v>
      </c>
      <c r="D126" s="689">
        <v>0</v>
      </c>
      <c r="E126" s="689">
        <v>0</v>
      </c>
      <c r="F126" s="689">
        <v>0</v>
      </c>
      <c r="G126" s="902">
        <f>SUM(C126:F126)</f>
        <v>0</v>
      </c>
      <c r="H126" s="689">
        <v>0</v>
      </c>
      <c r="I126" s="689">
        <v>0</v>
      </c>
      <c r="J126" s="689">
        <v>0</v>
      </c>
      <c r="K126" s="689">
        <v>0</v>
      </c>
      <c r="L126" s="689">
        <v>0</v>
      </c>
      <c r="M126" s="689">
        <v>0</v>
      </c>
      <c r="N126" s="689">
        <f t="shared" ref="N126:S126" si="340">300/12</f>
        <v>25</v>
      </c>
      <c r="O126" s="689">
        <f t="shared" si="340"/>
        <v>25</v>
      </c>
      <c r="P126" s="689">
        <f t="shared" si="340"/>
        <v>25</v>
      </c>
      <c r="Q126" s="689">
        <f t="shared" si="340"/>
        <v>25</v>
      </c>
      <c r="R126" s="689">
        <f t="shared" si="340"/>
        <v>25</v>
      </c>
      <c r="S126" s="689">
        <f t="shared" si="340"/>
        <v>25</v>
      </c>
      <c r="T126" s="917">
        <f>SUM(H126:S126)</f>
        <v>150</v>
      </c>
      <c r="U126" s="689">
        <f>300/12</f>
        <v>25</v>
      </c>
      <c r="V126" s="689">
        <f t="shared" ref="V126:AF126" si="341">300/12</f>
        <v>25</v>
      </c>
      <c r="W126" s="689">
        <f t="shared" si="341"/>
        <v>25</v>
      </c>
      <c r="X126" s="689">
        <f t="shared" si="341"/>
        <v>25</v>
      </c>
      <c r="Y126" s="689">
        <f t="shared" si="341"/>
        <v>25</v>
      </c>
      <c r="Z126" s="689">
        <f t="shared" si="341"/>
        <v>25</v>
      </c>
      <c r="AA126" s="689">
        <f t="shared" si="341"/>
        <v>25</v>
      </c>
      <c r="AB126" s="689">
        <f t="shared" si="341"/>
        <v>25</v>
      </c>
      <c r="AC126" s="689">
        <f t="shared" si="341"/>
        <v>25</v>
      </c>
      <c r="AD126" s="689">
        <f t="shared" si="341"/>
        <v>25</v>
      </c>
      <c r="AE126" s="689">
        <f t="shared" si="341"/>
        <v>25</v>
      </c>
      <c r="AF126" s="689">
        <f t="shared" si="341"/>
        <v>25</v>
      </c>
      <c r="AG126" s="917">
        <f>SUM(U126:AF126)</f>
        <v>300</v>
      </c>
      <c r="AH126" s="899">
        <v>300</v>
      </c>
      <c r="AI126" s="899">
        <v>300</v>
      </c>
      <c r="AJ126" s="899">
        <v>300</v>
      </c>
      <c r="AK126" s="899">
        <v>300</v>
      </c>
      <c r="AL126" s="899">
        <v>300</v>
      </c>
      <c r="AM126" s="899">
        <v>300</v>
      </c>
      <c r="AN126" s="899">
        <v>300</v>
      </c>
      <c r="AO126" s="1000">
        <v>300</v>
      </c>
    </row>
    <row r="127" spans="1:42" s="18" customFormat="1" ht="13.15" customHeight="1" x14ac:dyDescent="0.2">
      <c r="A127" s="680" t="s">
        <v>254</v>
      </c>
      <c r="B127" s="680"/>
      <c r="C127" s="690">
        <f t="shared" ref="C127:F127" si="342">C125*C126</f>
        <v>0</v>
      </c>
      <c r="D127" s="690">
        <f t="shared" si="342"/>
        <v>0</v>
      </c>
      <c r="E127" s="690">
        <f t="shared" si="342"/>
        <v>0</v>
      </c>
      <c r="F127" s="690">
        <f t="shared" si="342"/>
        <v>0</v>
      </c>
      <c r="G127" s="902">
        <f>SUM(C127:F127)</f>
        <v>0</v>
      </c>
      <c r="H127" s="690">
        <f t="shared" ref="H127:M127" si="343">H125*H126</f>
        <v>0</v>
      </c>
      <c r="I127" s="690">
        <f t="shared" si="343"/>
        <v>0</v>
      </c>
      <c r="J127" s="690">
        <f t="shared" si="343"/>
        <v>0</v>
      </c>
      <c r="K127" s="690">
        <f t="shared" si="343"/>
        <v>0</v>
      </c>
      <c r="L127" s="690">
        <f t="shared" si="343"/>
        <v>0</v>
      </c>
      <c r="M127" s="690">
        <f t="shared" si="343"/>
        <v>0</v>
      </c>
      <c r="N127" s="690">
        <f t="shared" ref="N127:S127" si="344">N125*N126</f>
        <v>0</v>
      </c>
      <c r="O127" s="690">
        <f t="shared" si="344"/>
        <v>0</v>
      </c>
      <c r="P127" s="690">
        <f t="shared" si="344"/>
        <v>0</v>
      </c>
      <c r="Q127" s="690">
        <f t="shared" si="344"/>
        <v>0</v>
      </c>
      <c r="R127" s="690">
        <f t="shared" si="344"/>
        <v>0</v>
      </c>
      <c r="S127" s="690">
        <f t="shared" si="344"/>
        <v>0</v>
      </c>
      <c r="T127" s="917">
        <f>SUM(H127:S127)</f>
        <v>0</v>
      </c>
      <c r="U127" s="690">
        <f t="shared" ref="U127:AF127" si="345">U125*U126</f>
        <v>0</v>
      </c>
      <c r="V127" s="690">
        <f t="shared" si="345"/>
        <v>0</v>
      </c>
      <c r="W127" s="690">
        <f t="shared" si="345"/>
        <v>0</v>
      </c>
      <c r="X127" s="690">
        <f t="shared" si="345"/>
        <v>0</v>
      </c>
      <c r="Y127" s="690">
        <f t="shared" si="345"/>
        <v>0</v>
      </c>
      <c r="Z127" s="690">
        <f t="shared" si="345"/>
        <v>0</v>
      </c>
      <c r="AA127" s="690">
        <f t="shared" si="345"/>
        <v>0</v>
      </c>
      <c r="AB127" s="690">
        <f t="shared" si="345"/>
        <v>0</v>
      </c>
      <c r="AC127" s="690">
        <f t="shared" si="345"/>
        <v>0</v>
      </c>
      <c r="AD127" s="690">
        <f t="shared" si="345"/>
        <v>0</v>
      </c>
      <c r="AE127" s="690">
        <f t="shared" si="345"/>
        <v>0</v>
      </c>
      <c r="AF127" s="690">
        <f t="shared" si="345"/>
        <v>0</v>
      </c>
      <c r="AG127" s="917">
        <f>SUM(U127:AF127)</f>
        <v>0</v>
      </c>
      <c r="AH127" s="902">
        <f t="shared" ref="AH127:AO127" si="346">AH125*AH126</f>
        <v>0</v>
      </c>
      <c r="AI127" s="902">
        <f t="shared" si="346"/>
        <v>0</v>
      </c>
      <c r="AJ127" s="902">
        <f t="shared" si="346"/>
        <v>0</v>
      </c>
      <c r="AK127" s="902">
        <f t="shared" si="346"/>
        <v>0</v>
      </c>
      <c r="AL127" s="902">
        <f t="shared" si="346"/>
        <v>0</v>
      </c>
      <c r="AM127" s="902">
        <f t="shared" si="346"/>
        <v>0</v>
      </c>
      <c r="AN127" s="902">
        <f t="shared" si="346"/>
        <v>0</v>
      </c>
      <c r="AO127" s="996">
        <f t="shared" si="346"/>
        <v>0</v>
      </c>
    </row>
    <row r="128" spans="1:42" s="18" customFormat="1" ht="13.15" customHeight="1" x14ac:dyDescent="0.2">
      <c r="A128" s="680" t="s">
        <v>249</v>
      </c>
      <c r="B128" s="680"/>
      <c r="C128" s="686">
        <f t="shared" ref="C128:F128" si="347">C116</f>
        <v>3.5</v>
      </c>
      <c r="D128" s="686">
        <f t="shared" si="347"/>
        <v>3.5</v>
      </c>
      <c r="E128" s="686">
        <f t="shared" si="347"/>
        <v>3.5</v>
      </c>
      <c r="F128" s="686">
        <f t="shared" si="347"/>
        <v>3.5</v>
      </c>
      <c r="G128" s="903">
        <f>F128</f>
        <v>3.5</v>
      </c>
      <c r="H128" s="686">
        <f t="shared" ref="H128:M128" si="348">H116</f>
        <v>3.5</v>
      </c>
      <c r="I128" s="686">
        <f t="shared" si="348"/>
        <v>3.5</v>
      </c>
      <c r="J128" s="686">
        <f t="shared" si="348"/>
        <v>3.5</v>
      </c>
      <c r="K128" s="686">
        <f t="shared" si="348"/>
        <v>3.5</v>
      </c>
      <c r="L128" s="686">
        <f t="shared" si="348"/>
        <v>3.5</v>
      </c>
      <c r="M128" s="686">
        <f t="shared" si="348"/>
        <v>3.5</v>
      </c>
      <c r="N128" s="686">
        <f t="shared" ref="N128:AO128" si="349">N116</f>
        <v>3.5</v>
      </c>
      <c r="O128" s="686">
        <f t="shared" si="349"/>
        <v>3.5</v>
      </c>
      <c r="P128" s="686">
        <f t="shared" si="349"/>
        <v>3.5</v>
      </c>
      <c r="Q128" s="686">
        <f t="shared" si="349"/>
        <v>3.5</v>
      </c>
      <c r="R128" s="686">
        <f t="shared" si="349"/>
        <v>3.5</v>
      </c>
      <c r="S128" s="686">
        <f t="shared" si="349"/>
        <v>3.5</v>
      </c>
      <c r="T128" s="919">
        <f t="shared" si="349"/>
        <v>3.5</v>
      </c>
      <c r="U128" s="686">
        <f t="shared" si="349"/>
        <v>3.5</v>
      </c>
      <c r="V128" s="686">
        <f t="shared" si="349"/>
        <v>3.5</v>
      </c>
      <c r="W128" s="686">
        <f t="shared" si="349"/>
        <v>3.5</v>
      </c>
      <c r="X128" s="686">
        <f t="shared" si="349"/>
        <v>3.5</v>
      </c>
      <c r="Y128" s="686">
        <f t="shared" si="349"/>
        <v>3.5</v>
      </c>
      <c r="Z128" s="686">
        <f t="shared" si="349"/>
        <v>3.5</v>
      </c>
      <c r="AA128" s="686">
        <f t="shared" si="349"/>
        <v>3.5</v>
      </c>
      <c r="AB128" s="686">
        <f t="shared" si="349"/>
        <v>3.5</v>
      </c>
      <c r="AC128" s="686">
        <f t="shared" si="349"/>
        <v>3.5</v>
      </c>
      <c r="AD128" s="686">
        <f t="shared" si="349"/>
        <v>3.5</v>
      </c>
      <c r="AE128" s="686">
        <f t="shared" si="349"/>
        <v>3.5</v>
      </c>
      <c r="AF128" s="686">
        <f t="shared" si="349"/>
        <v>3.5</v>
      </c>
      <c r="AG128" s="919">
        <f t="shared" si="349"/>
        <v>3.5</v>
      </c>
      <c r="AH128" s="919">
        <f t="shared" si="349"/>
        <v>3.5</v>
      </c>
      <c r="AI128" s="919">
        <f t="shared" si="349"/>
        <v>3.5</v>
      </c>
      <c r="AJ128" s="919">
        <f t="shared" si="349"/>
        <v>3.5</v>
      </c>
      <c r="AK128" s="919">
        <f t="shared" si="349"/>
        <v>3.5</v>
      </c>
      <c r="AL128" s="919">
        <f t="shared" si="349"/>
        <v>3.5</v>
      </c>
      <c r="AM128" s="919">
        <f t="shared" si="349"/>
        <v>3.5</v>
      </c>
      <c r="AN128" s="919">
        <f t="shared" si="349"/>
        <v>3.5</v>
      </c>
      <c r="AO128" s="998">
        <f t="shared" si="349"/>
        <v>3.5</v>
      </c>
    </row>
    <row r="129" spans="1:42" s="18" customFormat="1" ht="13.15" customHeight="1" x14ac:dyDescent="0.2">
      <c r="A129" s="680" t="s">
        <v>255</v>
      </c>
      <c r="B129" s="680"/>
      <c r="C129" s="690">
        <f t="shared" ref="C129:F129" si="350">C127*C128</f>
        <v>0</v>
      </c>
      <c r="D129" s="690">
        <f t="shared" si="350"/>
        <v>0</v>
      </c>
      <c r="E129" s="690">
        <f t="shared" si="350"/>
        <v>0</v>
      </c>
      <c r="F129" s="690">
        <f t="shared" si="350"/>
        <v>0</v>
      </c>
      <c r="G129" s="902">
        <f>SUM(C129:F129)</f>
        <v>0</v>
      </c>
      <c r="H129" s="690">
        <f t="shared" ref="H129:M129" si="351">H127*H128</f>
        <v>0</v>
      </c>
      <c r="I129" s="690">
        <f t="shared" si="351"/>
        <v>0</v>
      </c>
      <c r="J129" s="690">
        <f t="shared" si="351"/>
        <v>0</v>
      </c>
      <c r="K129" s="690">
        <f t="shared" si="351"/>
        <v>0</v>
      </c>
      <c r="L129" s="690">
        <f t="shared" si="351"/>
        <v>0</v>
      </c>
      <c r="M129" s="690">
        <f t="shared" si="351"/>
        <v>0</v>
      </c>
      <c r="N129" s="690">
        <f t="shared" ref="N129:S129" si="352">N127*N128</f>
        <v>0</v>
      </c>
      <c r="O129" s="690">
        <f t="shared" si="352"/>
        <v>0</v>
      </c>
      <c r="P129" s="690">
        <f t="shared" si="352"/>
        <v>0</v>
      </c>
      <c r="Q129" s="690">
        <f t="shared" si="352"/>
        <v>0</v>
      </c>
      <c r="R129" s="690">
        <f t="shared" si="352"/>
        <v>0</v>
      </c>
      <c r="S129" s="690">
        <f t="shared" si="352"/>
        <v>0</v>
      </c>
      <c r="T129" s="918">
        <f>SUM(H129:S129)</f>
        <v>0</v>
      </c>
      <c r="U129" s="690">
        <f t="shared" ref="U129:AF129" si="353">U127*U128</f>
        <v>0</v>
      </c>
      <c r="V129" s="690">
        <f t="shared" si="353"/>
        <v>0</v>
      </c>
      <c r="W129" s="690">
        <f t="shared" si="353"/>
        <v>0</v>
      </c>
      <c r="X129" s="690">
        <f t="shared" si="353"/>
        <v>0</v>
      </c>
      <c r="Y129" s="690">
        <f t="shared" si="353"/>
        <v>0</v>
      </c>
      <c r="Z129" s="690">
        <f t="shared" si="353"/>
        <v>0</v>
      </c>
      <c r="AA129" s="690">
        <f t="shared" si="353"/>
        <v>0</v>
      </c>
      <c r="AB129" s="690">
        <f t="shared" si="353"/>
        <v>0</v>
      </c>
      <c r="AC129" s="690">
        <f t="shared" si="353"/>
        <v>0</v>
      </c>
      <c r="AD129" s="690">
        <f t="shared" si="353"/>
        <v>0</v>
      </c>
      <c r="AE129" s="690">
        <f t="shared" si="353"/>
        <v>0</v>
      </c>
      <c r="AF129" s="690">
        <f t="shared" si="353"/>
        <v>0</v>
      </c>
      <c r="AG129" s="918">
        <f>SUM(U129:AF129)</f>
        <v>0</v>
      </c>
      <c r="AH129" s="902">
        <f t="shared" ref="AH129:AO129" si="354">AH127*AH128</f>
        <v>0</v>
      </c>
      <c r="AI129" s="902">
        <f t="shared" si="354"/>
        <v>0</v>
      </c>
      <c r="AJ129" s="902">
        <f t="shared" si="354"/>
        <v>0</v>
      </c>
      <c r="AK129" s="902">
        <f t="shared" si="354"/>
        <v>0</v>
      </c>
      <c r="AL129" s="902">
        <f t="shared" si="354"/>
        <v>0</v>
      </c>
      <c r="AM129" s="902">
        <f t="shared" si="354"/>
        <v>0</v>
      </c>
      <c r="AN129" s="902">
        <f t="shared" si="354"/>
        <v>0</v>
      </c>
      <c r="AO129" s="996">
        <f t="shared" si="354"/>
        <v>0</v>
      </c>
    </row>
    <row r="130" spans="1:42" s="18" customFormat="1" ht="13.15" customHeight="1" x14ac:dyDescent="0.2">
      <c r="A130" s="680"/>
      <c r="B130" s="680"/>
      <c r="C130" s="682"/>
      <c r="D130" s="682"/>
      <c r="E130" s="682"/>
      <c r="F130" s="682"/>
      <c r="G130" s="900"/>
      <c r="H130" s="682"/>
      <c r="I130" s="682"/>
      <c r="J130" s="682"/>
      <c r="K130" s="682"/>
      <c r="L130" s="682"/>
      <c r="M130" s="682"/>
      <c r="N130" s="682"/>
      <c r="O130" s="682"/>
      <c r="P130" s="682"/>
      <c r="Q130" s="682"/>
      <c r="R130" s="682"/>
      <c r="S130" s="682"/>
      <c r="T130" s="917"/>
      <c r="U130" s="682"/>
      <c r="V130" s="682"/>
      <c r="W130" s="682"/>
      <c r="X130" s="682"/>
      <c r="Y130" s="682"/>
      <c r="Z130" s="682"/>
      <c r="AA130" s="682"/>
      <c r="AB130" s="682"/>
      <c r="AC130" s="682"/>
      <c r="AD130" s="682"/>
      <c r="AE130" s="682"/>
      <c r="AF130" s="682"/>
      <c r="AG130" s="917"/>
      <c r="AH130" s="917"/>
      <c r="AI130" s="917"/>
      <c r="AJ130" s="917"/>
      <c r="AK130" s="924"/>
      <c r="AL130" s="924"/>
      <c r="AM130" s="924"/>
      <c r="AN130" s="924"/>
      <c r="AO130" s="995"/>
    </row>
    <row r="131" spans="1:42" s="277" customFormat="1" ht="13.15" customHeight="1" x14ac:dyDescent="0.2">
      <c r="A131" s="676" t="s">
        <v>257</v>
      </c>
      <c r="B131" s="676"/>
      <c r="C131" s="694">
        <f t="shared" ref="C131:F131" si="355">C117+C123+C129</f>
        <v>0</v>
      </c>
      <c r="D131" s="694">
        <f t="shared" si="355"/>
        <v>0</v>
      </c>
      <c r="E131" s="694">
        <f t="shared" si="355"/>
        <v>0</v>
      </c>
      <c r="F131" s="694">
        <f t="shared" si="355"/>
        <v>0</v>
      </c>
      <c r="G131" s="904">
        <f>SUM(C131:F131)</f>
        <v>0</v>
      </c>
      <c r="H131" s="694">
        <f t="shared" ref="H131:M131" si="356">H117+H123+H129</f>
        <v>0</v>
      </c>
      <c r="I131" s="694">
        <f t="shared" si="356"/>
        <v>0</v>
      </c>
      <c r="J131" s="694">
        <f t="shared" si="356"/>
        <v>0</v>
      </c>
      <c r="K131" s="694">
        <f t="shared" si="356"/>
        <v>0</v>
      </c>
      <c r="L131" s="694">
        <f t="shared" si="356"/>
        <v>0</v>
      </c>
      <c r="M131" s="694">
        <f t="shared" si="356"/>
        <v>0</v>
      </c>
      <c r="N131" s="694">
        <f t="shared" ref="N131:S131" si="357">N117+N123+N129</f>
        <v>0</v>
      </c>
      <c r="O131" s="694">
        <f t="shared" si="357"/>
        <v>0</v>
      </c>
      <c r="P131" s="694">
        <f t="shared" si="357"/>
        <v>0</v>
      </c>
      <c r="Q131" s="694">
        <f t="shared" si="357"/>
        <v>0</v>
      </c>
      <c r="R131" s="694">
        <f t="shared" si="357"/>
        <v>0</v>
      </c>
      <c r="S131" s="694">
        <f t="shared" si="357"/>
        <v>0</v>
      </c>
      <c r="T131" s="915">
        <f>SUM(H131:S131)</f>
        <v>0</v>
      </c>
      <c r="U131" s="694">
        <f t="shared" ref="U131:AF131" si="358">U117+U123+U129</f>
        <v>0</v>
      </c>
      <c r="V131" s="694">
        <f t="shared" si="358"/>
        <v>0</v>
      </c>
      <c r="W131" s="694">
        <f t="shared" si="358"/>
        <v>0</v>
      </c>
      <c r="X131" s="694">
        <f t="shared" si="358"/>
        <v>0</v>
      </c>
      <c r="Y131" s="694">
        <f t="shared" si="358"/>
        <v>0</v>
      </c>
      <c r="Z131" s="694">
        <f t="shared" si="358"/>
        <v>0</v>
      </c>
      <c r="AA131" s="694">
        <f t="shared" si="358"/>
        <v>0</v>
      </c>
      <c r="AB131" s="694">
        <f t="shared" si="358"/>
        <v>0</v>
      </c>
      <c r="AC131" s="694">
        <f t="shared" si="358"/>
        <v>0</v>
      </c>
      <c r="AD131" s="694">
        <f t="shared" si="358"/>
        <v>0</v>
      </c>
      <c r="AE131" s="694">
        <f t="shared" si="358"/>
        <v>0</v>
      </c>
      <c r="AF131" s="694">
        <f t="shared" si="358"/>
        <v>0</v>
      </c>
      <c r="AG131" s="904">
        <f>SUM(U131:AF131)</f>
        <v>0</v>
      </c>
      <c r="AH131" s="904">
        <f t="shared" ref="AH131:AO131" si="359">AH117+AH123+AH129</f>
        <v>964.68750000000023</v>
      </c>
      <c r="AI131" s="904">
        <f t="shared" si="359"/>
        <v>3511.4625000000005</v>
      </c>
      <c r="AJ131" s="904">
        <f t="shared" si="359"/>
        <v>7750.2993750000023</v>
      </c>
      <c r="AK131" s="904">
        <f t="shared" si="359"/>
        <v>15810.610725000004</v>
      </c>
      <c r="AL131" s="904">
        <f t="shared" si="359"/>
        <v>23420.784687300002</v>
      </c>
      <c r="AM131" s="904">
        <f t="shared" si="359"/>
        <v>27679.109175900001</v>
      </c>
      <c r="AN131" s="904">
        <f t="shared" si="359"/>
        <v>31937.433664499993</v>
      </c>
      <c r="AO131" s="1001">
        <f t="shared" si="359"/>
        <v>36195.758153099996</v>
      </c>
    </row>
    <row r="132" spans="1:42" s="18" customFormat="1" ht="13.15" customHeight="1" x14ac:dyDescent="0.2">
      <c r="A132" s="680"/>
      <c r="B132" s="680"/>
      <c r="C132" s="682"/>
      <c r="D132" s="682"/>
      <c r="E132" s="682"/>
      <c r="F132" s="682"/>
      <c r="G132" s="900"/>
      <c r="H132" s="682"/>
      <c r="I132" s="682"/>
      <c r="J132" s="682"/>
      <c r="K132" s="682"/>
      <c r="L132" s="682"/>
      <c r="M132" s="682"/>
      <c r="N132" s="682"/>
      <c r="O132" s="682"/>
      <c r="P132" s="682"/>
      <c r="Q132" s="682"/>
      <c r="R132" s="682"/>
      <c r="S132" s="682"/>
      <c r="T132" s="917"/>
      <c r="U132" s="682"/>
      <c r="V132" s="682"/>
      <c r="W132" s="682"/>
      <c r="X132" s="682"/>
      <c r="Y132" s="682"/>
      <c r="Z132" s="682"/>
      <c r="AA132" s="682"/>
      <c r="AB132" s="682"/>
      <c r="AC132" s="682"/>
      <c r="AD132" s="682"/>
      <c r="AE132" s="682"/>
      <c r="AF132" s="682"/>
      <c r="AG132" s="917"/>
      <c r="AH132" s="917"/>
      <c r="AI132" s="917"/>
      <c r="AJ132" s="917"/>
      <c r="AK132" s="924"/>
      <c r="AL132" s="924"/>
      <c r="AM132" s="924"/>
      <c r="AN132" s="924"/>
      <c r="AO132" s="995"/>
    </row>
    <row r="133" spans="1:42" s="18" customFormat="1" ht="13.15" customHeight="1" x14ac:dyDescent="0.2">
      <c r="A133" s="680" t="s">
        <v>258</v>
      </c>
      <c r="B133" s="680"/>
      <c r="C133" s="767">
        <f t="shared" ref="C133:F133" si="360">C52</f>
        <v>300</v>
      </c>
      <c r="D133" s="767">
        <f t="shared" si="360"/>
        <v>300</v>
      </c>
      <c r="E133" s="767">
        <f t="shared" si="360"/>
        <v>300</v>
      </c>
      <c r="F133" s="767">
        <f t="shared" si="360"/>
        <v>300</v>
      </c>
      <c r="G133" s="905">
        <f>F133</f>
        <v>300</v>
      </c>
      <c r="H133" s="767">
        <f t="shared" ref="H133:M133" si="361">H52</f>
        <v>300</v>
      </c>
      <c r="I133" s="767">
        <f t="shared" si="361"/>
        <v>300</v>
      </c>
      <c r="J133" s="767">
        <f t="shared" si="361"/>
        <v>300</v>
      </c>
      <c r="K133" s="767">
        <f t="shared" si="361"/>
        <v>300</v>
      </c>
      <c r="L133" s="767">
        <f t="shared" si="361"/>
        <v>300</v>
      </c>
      <c r="M133" s="767">
        <f t="shared" si="361"/>
        <v>300</v>
      </c>
      <c r="N133" s="767">
        <f t="shared" ref="N133:AO133" si="362">N25</f>
        <v>300</v>
      </c>
      <c r="O133" s="767">
        <f t="shared" si="362"/>
        <v>300</v>
      </c>
      <c r="P133" s="767">
        <f t="shared" si="362"/>
        <v>300</v>
      </c>
      <c r="Q133" s="767">
        <f t="shared" si="362"/>
        <v>300</v>
      </c>
      <c r="R133" s="767">
        <f t="shared" si="362"/>
        <v>300</v>
      </c>
      <c r="S133" s="767">
        <f t="shared" si="362"/>
        <v>300</v>
      </c>
      <c r="T133" s="905">
        <f t="shared" si="362"/>
        <v>300</v>
      </c>
      <c r="U133" s="767">
        <f t="shared" si="362"/>
        <v>300</v>
      </c>
      <c r="V133" s="767">
        <f t="shared" si="362"/>
        <v>300</v>
      </c>
      <c r="W133" s="767">
        <f t="shared" si="362"/>
        <v>300</v>
      </c>
      <c r="X133" s="767">
        <f t="shared" si="362"/>
        <v>300</v>
      </c>
      <c r="Y133" s="767">
        <f t="shared" si="362"/>
        <v>300</v>
      </c>
      <c r="Z133" s="767">
        <f t="shared" si="362"/>
        <v>300</v>
      </c>
      <c r="AA133" s="767">
        <f t="shared" si="362"/>
        <v>300</v>
      </c>
      <c r="AB133" s="767">
        <f t="shared" si="362"/>
        <v>300</v>
      </c>
      <c r="AC133" s="767">
        <f t="shared" si="362"/>
        <v>300</v>
      </c>
      <c r="AD133" s="767">
        <f t="shared" si="362"/>
        <v>300</v>
      </c>
      <c r="AE133" s="767">
        <f t="shared" si="362"/>
        <v>300</v>
      </c>
      <c r="AF133" s="767">
        <f t="shared" si="362"/>
        <v>300</v>
      </c>
      <c r="AG133" s="905">
        <f t="shared" si="362"/>
        <v>300</v>
      </c>
      <c r="AH133" s="905">
        <f t="shared" si="362"/>
        <v>300</v>
      </c>
      <c r="AI133" s="905">
        <f t="shared" si="362"/>
        <v>300</v>
      </c>
      <c r="AJ133" s="905">
        <f t="shared" si="362"/>
        <v>300</v>
      </c>
      <c r="AK133" s="905">
        <f t="shared" si="362"/>
        <v>300</v>
      </c>
      <c r="AL133" s="905">
        <f t="shared" si="362"/>
        <v>300</v>
      </c>
      <c r="AM133" s="905">
        <f t="shared" si="362"/>
        <v>300</v>
      </c>
      <c r="AN133" s="905">
        <f t="shared" si="362"/>
        <v>300</v>
      </c>
      <c r="AO133" s="1002">
        <f t="shared" si="362"/>
        <v>300</v>
      </c>
      <c r="AP133" s="988"/>
    </row>
    <row r="134" spans="1:42" s="18" customFormat="1" ht="13.15" customHeight="1" x14ac:dyDescent="0.2">
      <c r="A134" s="680"/>
      <c r="B134" s="680"/>
      <c r="C134" s="682"/>
      <c r="D134" s="682"/>
      <c r="E134" s="682"/>
      <c r="F134" s="682"/>
      <c r="G134" s="900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917"/>
      <c r="U134" s="682"/>
      <c r="V134" s="682"/>
      <c r="W134" s="682"/>
      <c r="X134" s="682"/>
      <c r="Y134" s="682"/>
      <c r="Z134" s="682"/>
      <c r="AA134" s="682"/>
      <c r="AB134" s="682"/>
      <c r="AC134" s="682"/>
      <c r="AD134" s="682"/>
      <c r="AE134" s="682"/>
      <c r="AF134" s="682"/>
      <c r="AG134" s="917"/>
      <c r="AH134" s="917"/>
      <c r="AI134" s="917"/>
      <c r="AJ134" s="917"/>
      <c r="AK134" s="924"/>
      <c r="AL134" s="924"/>
      <c r="AM134" s="924"/>
      <c r="AN134" s="924"/>
      <c r="AO134" s="995"/>
    </row>
    <row r="135" spans="1:42" s="794" customFormat="1" ht="13.15" customHeight="1" x14ac:dyDescent="0.2">
      <c r="A135" s="763" t="s">
        <v>415</v>
      </c>
      <c r="B135" s="763"/>
      <c r="C135" s="765">
        <f t="shared" ref="C135:F135" si="363">C131*C133</f>
        <v>0</v>
      </c>
      <c r="D135" s="765">
        <f t="shared" si="363"/>
        <v>0</v>
      </c>
      <c r="E135" s="765">
        <f t="shared" si="363"/>
        <v>0</v>
      </c>
      <c r="F135" s="765">
        <f t="shared" si="363"/>
        <v>0</v>
      </c>
      <c r="G135" s="906">
        <f>SUM(C135:F135)</f>
        <v>0</v>
      </c>
      <c r="H135" s="765">
        <f t="shared" ref="H135:M135" si="364">H131*H133</f>
        <v>0</v>
      </c>
      <c r="I135" s="765">
        <f t="shared" si="364"/>
        <v>0</v>
      </c>
      <c r="J135" s="765">
        <f t="shared" si="364"/>
        <v>0</v>
      </c>
      <c r="K135" s="765">
        <f t="shared" si="364"/>
        <v>0</v>
      </c>
      <c r="L135" s="765">
        <f t="shared" si="364"/>
        <v>0</v>
      </c>
      <c r="M135" s="765">
        <f t="shared" si="364"/>
        <v>0</v>
      </c>
      <c r="N135" s="765">
        <f t="shared" ref="N135:S135" si="365">N131*N133</f>
        <v>0</v>
      </c>
      <c r="O135" s="765">
        <f t="shared" si="365"/>
        <v>0</v>
      </c>
      <c r="P135" s="765">
        <f t="shared" si="365"/>
        <v>0</v>
      </c>
      <c r="Q135" s="765">
        <f t="shared" si="365"/>
        <v>0</v>
      </c>
      <c r="R135" s="765">
        <f t="shared" si="365"/>
        <v>0</v>
      </c>
      <c r="S135" s="765">
        <f t="shared" si="365"/>
        <v>0</v>
      </c>
      <c r="T135" s="906">
        <f>SUM(H135:S135)</f>
        <v>0</v>
      </c>
      <c r="U135" s="765">
        <f>U131*U133</f>
        <v>0</v>
      </c>
      <c r="V135" s="765">
        <f t="shared" ref="V135:AF135" si="366">V131*V133</f>
        <v>0</v>
      </c>
      <c r="W135" s="765">
        <f t="shared" si="366"/>
        <v>0</v>
      </c>
      <c r="X135" s="765">
        <f t="shared" si="366"/>
        <v>0</v>
      </c>
      <c r="Y135" s="765">
        <f t="shared" si="366"/>
        <v>0</v>
      </c>
      <c r="Z135" s="765">
        <f t="shared" si="366"/>
        <v>0</v>
      </c>
      <c r="AA135" s="765">
        <f t="shared" si="366"/>
        <v>0</v>
      </c>
      <c r="AB135" s="765">
        <f t="shared" si="366"/>
        <v>0</v>
      </c>
      <c r="AC135" s="765">
        <f t="shared" si="366"/>
        <v>0</v>
      </c>
      <c r="AD135" s="765">
        <f t="shared" si="366"/>
        <v>0</v>
      </c>
      <c r="AE135" s="765">
        <f t="shared" si="366"/>
        <v>0</v>
      </c>
      <c r="AF135" s="765">
        <f t="shared" si="366"/>
        <v>0</v>
      </c>
      <c r="AG135" s="906">
        <f>SUM(U135:AF135)</f>
        <v>0</v>
      </c>
      <c r="AH135" s="906">
        <f t="shared" ref="AH135:AO135" si="367">AH131*AH133</f>
        <v>289406.25000000006</v>
      </c>
      <c r="AI135" s="906">
        <f t="shared" si="367"/>
        <v>1053438.7500000002</v>
      </c>
      <c r="AJ135" s="906">
        <f t="shared" si="367"/>
        <v>2325089.8125000009</v>
      </c>
      <c r="AK135" s="906">
        <f t="shared" si="367"/>
        <v>4743183.2175000012</v>
      </c>
      <c r="AL135" s="906">
        <f t="shared" si="367"/>
        <v>7026235.4061900005</v>
      </c>
      <c r="AM135" s="906">
        <f t="shared" si="367"/>
        <v>8303732.7527700001</v>
      </c>
      <c r="AN135" s="906">
        <f t="shared" si="367"/>
        <v>9581230.0993499979</v>
      </c>
      <c r="AO135" s="1003">
        <f t="shared" si="367"/>
        <v>10858727.445929999</v>
      </c>
      <c r="AP135" s="277"/>
    </row>
    <row r="136" spans="1:42" s="18" customFormat="1" ht="13.15" customHeight="1" x14ac:dyDescent="0.2">
      <c r="A136" s="680"/>
      <c r="B136" s="680"/>
      <c r="C136" s="680"/>
      <c r="D136" s="680"/>
      <c r="E136" s="680"/>
      <c r="F136" s="680"/>
      <c r="G136" s="900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917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917"/>
      <c r="AH136" s="917"/>
      <c r="AI136" s="917"/>
      <c r="AJ136" s="917"/>
      <c r="AK136" s="924"/>
      <c r="AL136" s="924"/>
      <c r="AM136" s="924"/>
      <c r="AN136" s="924"/>
      <c r="AO136" s="995"/>
    </row>
    <row r="137" spans="1:42" s="18" customFormat="1" ht="13.15" customHeight="1" x14ac:dyDescent="0.2">
      <c r="A137" s="680"/>
      <c r="B137" s="680"/>
      <c r="C137" s="680"/>
      <c r="D137" s="680"/>
      <c r="E137" s="680"/>
      <c r="F137" s="680"/>
      <c r="G137" s="900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917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917"/>
      <c r="AH137" s="917"/>
      <c r="AI137" s="917"/>
      <c r="AJ137" s="917"/>
      <c r="AK137" s="924"/>
      <c r="AL137" s="924"/>
      <c r="AM137" s="924"/>
      <c r="AN137" s="924"/>
      <c r="AO137" s="995"/>
    </row>
    <row r="138" spans="1:42" s="18" customFormat="1" ht="13.15" customHeight="1" x14ac:dyDescent="0.2">
      <c r="A138" s="676" t="s">
        <v>445</v>
      </c>
      <c r="B138" s="676"/>
      <c r="C138" s="676"/>
      <c r="D138" s="676"/>
      <c r="E138" s="676"/>
      <c r="F138" s="676"/>
      <c r="G138" s="89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915"/>
      <c r="U138" s="678"/>
      <c r="V138" s="678"/>
      <c r="W138" s="678"/>
      <c r="X138" s="678"/>
      <c r="Y138" s="678"/>
      <c r="Z138" s="678"/>
      <c r="AA138" s="678"/>
      <c r="AB138" s="678"/>
      <c r="AC138" s="678"/>
      <c r="AD138" s="678"/>
      <c r="AE138" s="678"/>
      <c r="AF138" s="678"/>
      <c r="AG138" s="915"/>
      <c r="AH138" s="915"/>
      <c r="AI138" s="915"/>
      <c r="AJ138" s="915"/>
      <c r="AK138" s="924"/>
      <c r="AL138" s="924"/>
      <c r="AM138" s="924"/>
      <c r="AN138" s="924"/>
      <c r="AO138" s="995"/>
    </row>
    <row r="139" spans="1:42" s="18" customFormat="1" ht="13.15" customHeight="1" x14ac:dyDescent="0.2">
      <c r="A139" s="674" t="s">
        <v>250</v>
      </c>
      <c r="B139" s="674"/>
      <c r="C139" s="690">
        <f>$G139/12</f>
        <v>3750</v>
      </c>
      <c r="D139" s="690">
        <f t="shared" ref="D139:F139" si="368">$G139/12</f>
        <v>3750</v>
      </c>
      <c r="E139" s="690">
        <f t="shared" si="368"/>
        <v>3750</v>
      </c>
      <c r="F139" s="690">
        <f t="shared" si="368"/>
        <v>3750</v>
      </c>
      <c r="G139" s="899">
        <v>45000</v>
      </c>
      <c r="H139" s="690">
        <f t="shared" ref="H139:M139" si="369">$T139/12</f>
        <v>3750</v>
      </c>
      <c r="I139" s="690">
        <f t="shared" si="369"/>
        <v>3750</v>
      </c>
      <c r="J139" s="690">
        <f t="shared" si="369"/>
        <v>3750</v>
      </c>
      <c r="K139" s="690">
        <f t="shared" si="369"/>
        <v>3750</v>
      </c>
      <c r="L139" s="690">
        <f t="shared" si="369"/>
        <v>3750</v>
      </c>
      <c r="M139" s="690">
        <f t="shared" si="369"/>
        <v>3750</v>
      </c>
      <c r="N139" s="690">
        <f t="shared" ref="N139:S139" si="370">$T139/12</f>
        <v>3750</v>
      </c>
      <c r="O139" s="690">
        <f t="shared" si="370"/>
        <v>3750</v>
      </c>
      <c r="P139" s="690">
        <f t="shared" si="370"/>
        <v>3750</v>
      </c>
      <c r="Q139" s="690">
        <f t="shared" si="370"/>
        <v>3750</v>
      </c>
      <c r="R139" s="690">
        <f t="shared" si="370"/>
        <v>3750</v>
      </c>
      <c r="S139" s="690">
        <f t="shared" si="370"/>
        <v>3750</v>
      </c>
      <c r="T139" s="899">
        <v>45000</v>
      </c>
      <c r="U139" s="690">
        <f>$AG139/12</f>
        <v>3937.5</v>
      </c>
      <c r="V139" s="690">
        <f t="shared" ref="V139:AF139" si="371">$AG139/12</f>
        <v>3937.5</v>
      </c>
      <c r="W139" s="690">
        <f t="shared" si="371"/>
        <v>3937.5</v>
      </c>
      <c r="X139" s="690">
        <f t="shared" si="371"/>
        <v>3937.5</v>
      </c>
      <c r="Y139" s="690">
        <f t="shared" si="371"/>
        <v>3937.5</v>
      </c>
      <c r="Z139" s="690">
        <f t="shared" si="371"/>
        <v>3937.5</v>
      </c>
      <c r="AA139" s="690">
        <f t="shared" si="371"/>
        <v>3937.5</v>
      </c>
      <c r="AB139" s="690">
        <f t="shared" si="371"/>
        <v>3937.5</v>
      </c>
      <c r="AC139" s="690">
        <f t="shared" si="371"/>
        <v>3937.5</v>
      </c>
      <c r="AD139" s="690">
        <f t="shared" si="371"/>
        <v>3937.5</v>
      </c>
      <c r="AE139" s="690">
        <f t="shared" si="371"/>
        <v>3937.5</v>
      </c>
      <c r="AF139" s="690">
        <f t="shared" si="371"/>
        <v>3937.5</v>
      </c>
      <c r="AG139" s="902">
        <f>T139*(1+AG140)</f>
        <v>47250</v>
      </c>
      <c r="AH139" s="902">
        <f t="shared" ref="AH139:AO139" si="372">AG139*(1+AH140)</f>
        <v>49612.5</v>
      </c>
      <c r="AI139" s="902">
        <f t="shared" si="372"/>
        <v>51597</v>
      </c>
      <c r="AJ139" s="902">
        <f t="shared" si="372"/>
        <v>53144.91</v>
      </c>
      <c r="AK139" s="902">
        <f t="shared" si="372"/>
        <v>54207.808200000007</v>
      </c>
      <c r="AL139" s="902">
        <f t="shared" si="372"/>
        <v>54749.886282000007</v>
      </c>
      <c r="AM139" s="902">
        <f t="shared" si="372"/>
        <v>54749.886282000007</v>
      </c>
      <c r="AN139" s="902">
        <f t="shared" si="372"/>
        <v>54749.886282000007</v>
      </c>
      <c r="AO139" s="996">
        <f t="shared" si="372"/>
        <v>54749.886282000007</v>
      </c>
    </row>
    <row r="140" spans="1:42" s="987" customFormat="1" ht="13.15" customHeight="1" x14ac:dyDescent="0.2">
      <c r="A140" s="680" t="s">
        <v>324</v>
      </c>
      <c r="B140" s="680"/>
      <c r="C140" s="687"/>
      <c r="D140" s="687"/>
      <c r="E140" s="687"/>
      <c r="F140" s="687"/>
      <c r="G140" s="900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  <c r="S140" s="687"/>
      <c r="T140" s="916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921">
        <v>0.05</v>
      </c>
      <c r="AH140" s="921">
        <v>0.05</v>
      </c>
      <c r="AI140" s="921">
        <f>AH140-1%</f>
        <v>0.04</v>
      </c>
      <c r="AJ140" s="921">
        <f>AI140-1%</f>
        <v>0.03</v>
      </c>
      <c r="AK140" s="921">
        <f>AJ140-1%</f>
        <v>1.9999999999999997E-2</v>
      </c>
      <c r="AL140" s="921">
        <f>AK140-1%</f>
        <v>9.9999999999999967E-3</v>
      </c>
      <c r="AM140" s="921">
        <f>AL140-1%</f>
        <v>0</v>
      </c>
      <c r="AN140" s="925">
        <f>AM140</f>
        <v>0</v>
      </c>
      <c r="AO140" s="997">
        <f>AN140</f>
        <v>0</v>
      </c>
    </row>
    <row r="141" spans="1:42" s="987" customFormat="1" ht="13.15" customHeight="1" x14ac:dyDescent="0.2">
      <c r="A141" s="680" t="s">
        <v>248</v>
      </c>
      <c r="B141" s="680"/>
      <c r="C141" s="687">
        <f t="shared" ref="C141:F141" si="373">C114</f>
        <v>0</v>
      </c>
      <c r="D141" s="687">
        <f t="shared" si="373"/>
        <v>0</v>
      </c>
      <c r="E141" s="687">
        <f t="shared" si="373"/>
        <v>0</v>
      </c>
      <c r="F141" s="687">
        <f t="shared" si="373"/>
        <v>0</v>
      </c>
      <c r="G141" s="900">
        <f>F141</f>
        <v>0</v>
      </c>
      <c r="H141" s="687">
        <f t="shared" ref="H141:M141" si="374">H114</f>
        <v>0</v>
      </c>
      <c r="I141" s="687">
        <f t="shared" si="374"/>
        <v>0</v>
      </c>
      <c r="J141" s="687">
        <f t="shared" si="374"/>
        <v>0</v>
      </c>
      <c r="K141" s="687">
        <f t="shared" si="374"/>
        <v>0</v>
      </c>
      <c r="L141" s="687">
        <f t="shared" si="374"/>
        <v>0</v>
      </c>
      <c r="M141" s="687">
        <f t="shared" si="374"/>
        <v>0</v>
      </c>
      <c r="N141" s="687">
        <f t="shared" ref="N141:S141" si="375">N114</f>
        <v>0</v>
      </c>
      <c r="O141" s="687">
        <f t="shared" si="375"/>
        <v>0</v>
      </c>
      <c r="P141" s="687">
        <f t="shared" si="375"/>
        <v>0</v>
      </c>
      <c r="Q141" s="687">
        <f t="shared" si="375"/>
        <v>0</v>
      </c>
      <c r="R141" s="687">
        <f t="shared" si="375"/>
        <v>0</v>
      </c>
      <c r="S141" s="687">
        <f t="shared" si="375"/>
        <v>0</v>
      </c>
      <c r="T141" s="916">
        <f>S141</f>
        <v>0</v>
      </c>
      <c r="U141" s="687">
        <f>U114</f>
        <v>0</v>
      </c>
      <c r="V141" s="687">
        <f t="shared" ref="V141:AF141" si="376">V114</f>
        <v>0</v>
      </c>
      <c r="W141" s="687">
        <f t="shared" si="376"/>
        <v>0</v>
      </c>
      <c r="X141" s="687">
        <f t="shared" si="376"/>
        <v>0</v>
      </c>
      <c r="Y141" s="687">
        <f t="shared" si="376"/>
        <v>0</v>
      </c>
      <c r="Z141" s="687">
        <f t="shared" si="376"/>
        <v>0</v>
      </c>
      <c r="AA141" s="687">
        <f t="shared" si="376"/>
        <v>0</v>
      </c>
      <c r="AB141" s="687">
        <f t="shared" si="376"/>
        <v>0</v>
      </c>
      <c r="AC141" s="687">
        <f t="shared" si="376"/>
        <v>0</v>
      </c>
      <c r="AD141" s="687">
        <f t="shared" si="376"/>
        <v>0</v>
      </c>
      <c r="AE141" s="687">
        <f t="shared" si="376"/>
        <v>0</v>
      </c>
      <c r="AF141" s="687">
        <f t="shared" si="376"/>
        <v>0</v>
      </c>
      <c r="AG141" s="916">
        <f>AF141</f>
        <v>0</v>
      </c>
      <c r="AH141" s="921">
        <f t="shared" ref="AH141:AO141" si="377">AH114</f>
        <v>1.0000000000000002E-2</v>
      </c>
      <c r="AI141" s="921">
        <f t="shared" si="377"/>
        <v>2.5000000000000001E-2</v>
      </c>
      <c r="AJ141" s="921">
        <f t="shared" si="377"/>
        <v>0.05</v>
      </c>
      <c r="AK141" s="921">
        <f t="shared" si="377"/>
        <v>0.1</v>
      </c>
      <c r="AL141" s="921">
        <f t="shared" si="377"/>
        <v>0.12</v>
      </c>
      <c r="AM141" s="921">
        <f t="shared" si="377"/>
        <v>0.13999999999999999</v>
      </c>
      <c r="AN141" s="921">
        <f t="shared" si="377"/>
        <v>0.15999999999999998</v>
      </c>
      <c r="AO141" s="1004">
        <f t="shared" si="377"/>
        <v>0.17999999999999997</v>
      </c>
    </row>
    <row r="142" spans="1:42" s="18" customFormat="1" ht="13.15" customHeight="1" x14ac:dyDescent="0.2">
      <c r="A142" s="680" t="s">
        <v>251</v>
      </c>
      <c r="B142" s="680"/>
      <c r="C142" s="690">
        <f t="shared" ref="C142:F142" si="378">C139*C141</f>
        <v>0</v>
      </c>
      <c r="D142" s="690">
        <f t="shared" si="378"/>
        <v>0</v>
      </c>
      <c r="E142" s="690">
        <f t="shared" si="378"/>
        <v>0</v>
      </c>
      <c r="F142" s="690">
        <f t="shared" si="378"/>
        <v>0</v>
      </c>
      <c r="G142" s="902">
        <f>SUM(C142:F142)</f>
        <v>0</v>
      </c>
      <c r="H142" s="690">
        <f t="shared" ref="H142:M142" si="379">H139*H141</f>
        <v>0</v>
      </c>
      <c r="I142" s="690">
        <f t="shared" si="379"/>
        <v>0</v>
      </c>
      <c r="J142" s="690">
        <f t="shared" si="379"/>
        <v>0</v>
      </c>
      <c r="K142" s="690">
        <f t="shared" si="379"/>
        <v>0</v>
      </c>
      <c r="L142" s="690">
        <f t="shared" si="379"/>
        <v>0</v>
      </c>
      <c r="M142" s="690">
        <f t="shared" si="379"/>
        <v>0</v>
      </c>
      <c r="N142" s="690">
        <f t="shared" ref="N142:S142" si="380">N139*N141</f>
        <v>0</v>
      </c>
      <c r="O142" s="690">
        <f t="shared" si="380"/>
        <v>0</v>
      </c>
      <c r="P142" s="690">
        <f t="shared" si="380"/>
        <v>0</v>
      </c>
      <c r="Q142" s="690">
        <f t="shared" si="380"/>
        <v>0</v>
      </c>
      <c r="R142" s="690">
        <f t="shared" si="380"/>
        <v>0</v>
      </c>
      <c r="S142" s="690">
        <f t="shared" si="380"/>
        <v>0</v>
      </c>
      <c r="T142" s="917">
        <f>SUM(H142:S142)</f>
        <v>0</v>
      </c>
      <c r="U142" s="690">
        <f t="shared" ref="U142:AF142" si="381">U139*U141</f>
        <v>0</v>
      </c>
      <c r="V142" s="690">
        <f t="shared" si="381"/>
        <v>0</v>
      </c>
      <c r="W142" s="690">
        <f t="shared" si="381"/>
        <v>0</v>
      </c>
      <c r="X142" s="690">
        <f t="shared" si="381"/>
        <v>0</v>
      </c>
      <c r="Y142" s="690">
        <f t="shared" si="381"/>
        <v>0</v>
      </c>
      <c r="Z142" s="690">
        <f t="shared" si="381"/>
        <v>0</v>
      </c>
      <c r="AA142" s="690">
        <f t="shared" si="381"/>
        <v>0</v>
      </c>
      <c r="AB142" s="690">
        <f t="shared" si="381"/>
        <v>0</v>
      </c>
      <c r="AC142" s="690">
        <f t="shared" si="381"/>
        <v>0</v>
      </c>
      <c r="AD142" s="690">
        <f t="shared" si="381"/>
        <v>0</v>
      </c>
      <c r="AE142" s="690">
        <f t="shared" si="381"/>
        <v>0</v>
      </c>
      <c r="AF142" s="690">
        <f t="shared" si="381"/>
        <v>0</v>
      </c>
      <c r="AG142" s="902">
        <f>SUM(U142:AF142)</f>
        <v>0</v>
      </c>
      <c r="AH142" s="902">
        <f>AH139*AVERAGE(AF141,AH141)</f>
        <v>248.06250000000006</v>
      </c>
      <c r="AI142" s="902">
        <f t="shared" ref="AI142:AO142" si="382">AI139*AVERAGE(AH141,AI141)</f>
        <v>902.9475000000001</v>
      </c>
      <c r="AJ142" s="902">
        <f t="shared" si="382"/>
        <v>1992.9341250000004</v>
      </c>
      <c r="AK142" s="902">
        <f t="shared" si="382"/>
        <v>4065.5856150000013</v>
      </c>
      <c r="AL142" s="902">
        <f t="shared" si="382"/>
        <v>6022.4874910200006</v>
      </c>
      <c r="AM142" s="902">
        <f t="shared" si="382"/>
        <v>7117.4852166600012</v>
      </c>
      <c r="AN142" s="902">
        <f t="shared" si="382"/>
        <v>8212.4829422999992</v>
      </c>
      <c r="AO142" s="996">
        <f t="shared" si="382"/>
        <v>9307.4806679400008</v>
      </c>
    </row>
    <row r="143" spans="1:42" s="18" customFormat="1" ht="13.15" customHeight="1" x14ac:dyDescent="0.2">
      <c r="A143" s="680" t="s">
        <v>249</v>
      </c>
      <c r="B143" s="680"/>
      <c r="C143" s="686">
        <v>3.5</v>
      </c>
      <c r="D143" s="686">
        <f>C143</f>
        <v>3.5</v>
      </c>
      <c r="E143" s="686">
        <f t="shared" ref="E143:F143" si="383">D143</f>
        <v>3.5</v>
      </c>
      <c r="F143" s="686">
        <f t="shared" si="383"/>
        <v>3.5</v>
      </c>
      <c r="G143" s="903">
        <f>F143</f>
        <v>3.5</v>
      </c>
      <c r="H143" s="686">
        <f>F143</f>
        <v>3.5</v>
      </c>
      <c r="I143" s="686">
        <f>H143</f>
        <v>3.5</v>
      </c>
      <c r="J143" s="686">
        <f t="shared" ref="J143:S143" si="384">I143</f>
        <v>3.5</v>
      </c>
      <c r="K143" s="686">
        <f t="shared" si="384"/>
        <v>3.5</v>
      </c>
      <c r="L143" s="686">
        <f t="shared" si="384"/>
        <v>3.5</v>
      </c>
      <c r="M143" s="686">
        <f t="shared" si="384"/>
        <v>3.5</v>
      </c>
      <c r="N143" s="686">
        <f t="shared" si="384"/>
        <v>3.5</v>
      </c>
      <c r="O143" s="686">
        <f t="shared" si="384"/>
        <v>3.5</v>
      </c>
      <c r="P143" s="686">
        <f t="shared" si="384"/>
        <v>3.5</v>
      </c>
      <c r="Q143" s="686">
        <f t="shared" si="384"/>
        <v>3.5</v>
      </c>
      <c r="R143" s="686">
        <f t="shared" si="384"/>
        <v>3.5</v>
      </c>
      <c r="S143" s="686">
        <f t="shared" si="384"/>
        <v>3.5</v>
      </c>
      <c r="T143" s="903">
        <f t="shared" ref="T143" si="385">S143</f>
        <v>3.5</v>
      </c>
      <c r="U143" s="686">
        <f>S143</f>
        <v>3.5</v>
      </c>
      <c r="V143" s="686">
        <f t="shared" ref="V143:AG143" si="386">U143</f>
        <v>3.5</v>
      </c>
      <c r="W143" s="686">
        <f t="shared" si="386"/>
        <v>3.5</v>
      </c>
      <c r="X143" s="686">
        <f t="shared" si="386"/>
        <v>3.5</v>
      </c>
      <c r="Y143" s="686">
        <f t="shared" si="386"/>
        <v>3.5</v>
      </c>
      <c r="Z143" s="686">
        <f t="shared" si="386"/>
        <v>3.5</v>
      </c>
      <c r="AA143" s="686">
        <f t="shared" si="386"/>
        <v>3.5</v>
      </c>
      <c r="AB143" s="686">
        <f t="shared" si="386"/>
        <v>3.5</v>
      </c>
      <c r="AC143" s="686">
        <f t="shared" si="386"/>
        <v>3.5</v>
      </c>
      <c r="AD143" s="686">
        <f t="shared" si="386"/>
        <v>3.5</v>
      </c>
      <c r="AE143" s="686">
        <f t="shared" si="386"/>
        <v>3.5</v>
      </c>
      <c r="AF143" s="686">
        <f t="shared" si="386"/>
        <v>3.5</v>
      </c>
      <c r="AG143" s="919">
        <f t="shared" si="386"/>
        <v>3.5</v>
      </c>
      <c r="AH143" s="919">
        <f>AF143</f>
        <v>3.5</v>
      </c>
      <c r="AI143" s="919">
        <f t="shared" ref="AI143:AO143" si="387">AH143</f>
        <v>3.5</v>
      </c>
      <c r="AJ143" s="919">
        <f t="shared" si="387"/>
        <v>3.5</v>
      </c>
      <c r="AK143" s="919">
        <f t="shared" si="387"/>
        <v>3.5</v>
      </c>
      <c r="AL143" s="919">
        <f t="shared" si="387"/>
        <v>3.5</v>
      </c>
      <c r="AM143" s="919">
        <f t="shared" si="387"/>
        <v>3.5</v>
      </c>
      <c r="AN143" s="919">
        <f t="shared" si="387"/>
        <v>3.5</v>
      </c>
      <c r="AO143" s="998">
        <f t="shared" si="387"/>
        <v>3.5</v>
      </c>
    </row>
    <row r="144" spans="1:42" s="18" customFormat="1" ht="13.15" customHeight="1" x14ac:dyDescent="0.2">
      <c r="A144" s="680" t="s">
        <v>255</v>
      </c>
      <c r="B144" s="680"/>
      <c r="C144" s="690">
        <f t="shared" ref="C144:F144" si="388">C142*C143</f>
        <v>0</v>
      </c>
      <c r="D144" s="690">
        <f t="shared" si="388"/>
        <v>0</v>
      </c>
      <c r="E144" s="690">
        <f t="shared" si="388"/>
        <v>0</v>
      </c>
      <c r="F144" s="690">
        <f t="shared" si="388"/>
        <v>0</v>
      </c>
      <c r="G144" s="902">
        <f>SUM(C144:F144)</f>
        <v>0</v>
      </c>
      <c r="H144" s="690">
        <f t="shared" ref="H144:M144" si="389">H142*H143</f>
        <v>0</v>
      </c>
      <c r="I144" s="690">
        <f t="shared" si="389"/>
        <v>0</v>
      </c>
      <c r="J144" s="690">
        <f t="shared" si="389"/>
        <v>0</v>
      </c>
      <c r="K144" s="690">
        <f t="shared" si="389"/>
        <v>0</v>
      </c>
      <c r="L144" s="690">
        <f t="shared" si="389"/>
        <v>0</v>
      </c>
      <c r="M144" s="690">
        <f t="shared" si="389"/>
        <v>0</v>
      </c>
      <c r="N144" s="690">
        <f t="shared" ref="N144:S144" si="390">N142*N143</f>
        <v>0</v>
      </c>
      <c r="O144" s="690">
        <f t="shared" si="390"/>
        <v>0</v>
      </c>
      <c r="P144" s="690">
        <f t="shared" si="390"/>
        <v>0</v>
      </c>
      <c r="Q144" s="690">
        <f t="shared" si="390"/>
        <v>0</v>
      </c>
      <c r="R144" s="690">
        <f t="shared" si="390"/>
        <v>0</v>
      </c>
      <c r="S144" s="690">
        <f t="shared" si="390"/>
        <v>0</v>
      </c>
      <c r="T144" s="918">
        <f>SUM(H144:S144)</f>
        <v>0</v>
      </c>
      <c r="U144" s="690">
        <f t="shared" ref="U144:AF144" si="391">U142*U143</f>
        <v>0</v>
      </c>
      <c r="V144" s="690">
        <f t="shared" si="391"/>
        <v>0</v>
      </c>
      <c r="W144" s="690">
        <f t="shared" si="391"/>
        <v>0</v>
      </c>
      <c r="X144" s="690">
        <f t="shared" si="391"/>
        <v>0</v>
      </c>
      <c r="Y144" s="690">
        <f t="shared" si="391"/>
        <v>0</v>
      </c>
      <c r="Z144" s="690">
        <f t="shared" si="391"/>
        <v>0</v>
      </c>
      <c r="AA144" s="690">
        <f t="shared" si="391"/>
        <v>0</v>
      </c>
      <c r="AB144" s="690">
        <f t="shared" si="391"/>
        <v>0</v>
      </c>
      <c r="AC144" s="690">
        <f t="shared" si="391"/>
        <v>0</v>
      </c>
      <c r="AD144" s="690">
        <f t="shared" si="391"/>
        <v>0</v>
      </c>
      <c r="AE144" s="690">
        <f t="shared" si="391"/>
        <v>0</v>
      </c>
      <c r="AF144" s="690">
        <f t="shared" si="391"/>
        <v>0</v>
      </c>
      <c r="AG144" s="918">
        <f>SUM(U144:AF144)</f>
        <v>0</v>
      </c>
      <c r="AH144" s="902">
        <f t="shared" ref="AH144:AO144" si="392">AH142*AH143</f>
        <v>868.21875000000023</v>
      </c>
      <c r="AI144" s="902">
        <f t="shared" si="392"/>
        <v>3160.3162500000003</v>
      </c>
      <c r="AJ144" s="902">
        <f t="shared" si="392"/>
        <v>6975.2694375000019</v>
      </c>
      <c r="AK144" s="902">
        <f t="shared" si="392"/>
        <v>14229.549652500005</v>
      </c>
      <c r="AL144" s="902">
        <f t="shared" si="392"/>
        <v>21078.706218570002</v>
      </c>
      <c r="AM144" s="902">
        <f t="shared" si="392"/>
        <v>24911.198258310003</v>
      </c>
      <c r="AN144" s="902">
        <f t="shared" si="392"/>
        <v>28743.690298049998</v>
      </c>
      <c r="AO144" s="996">
        <f t="shared" si="392"/>
        <v>32576.182337790004</v>
      </c>
    </row>
    <row r="145" spans="1:42" s="34" customFormat="1" ht="12.4" customHeight="1" x14ac:dyDescent="0.2">
      <c r="A145" s="1"/>
      <c r="B145" s="1"/>
      <c r="C145" s="1"/>
      <c r="D145" s="1"/>
      <c r="E145" s="1"/>
      <c r="F145" s="1"/>
      <c r="G145" s="26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6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268"/>
      <c r="AH145" s="268"/>
      <c r="AI145" s="268"/>
      <c r="AJ145" s="268"/>
      <c r="AK145" s="268"/>
      <c r="AL145" s="268"/>
      <c r="AM145" s="268"/>
      <c r="AN145" s="268"/>
      <c r="AO145" s="999"/>
      <c r="AP145" s="18"/>
    </row>
    <row r="146" spans="1:42" s="18" customFormat="1" ht="13.15" customHeight="1" x14ac:dyDescent="0.2">
      <c r="A146" s="680" t="s">
        <v>253</v>
      </c>
      <c r="B146" s="680"/>
      <c r="C146" s="689">
        <v>0</v>
      </c>
      <c r="D146" s="689">
        <v>0</v>
      </c>
      <c r="E146" s="689">
        <v>0</v>
      </c>
      <c r="F146" s="689">
        <v>0</v>
      </c>
      <c r="G146" s="902">
        <f>F146</f>
        <v>0</v>
      </c>
      <c r="H146" s="689">
        <v>0</v>
      </c>
      <c r="I146" s="689">
        <v>0</v>
      </c>
      <c r="J146" s="689">
        <v>0</v>
      </c>
      <c r="K146" s="689">
        <v>0</v>
      </c>
      <c r="L146" s="689">
        <v>0</v>
      </c>
      <c r="M146" s="689">
        <v>0</v>
      </c>
      <c r="N146" s="689">
        <v>0</v>
      </c>
      <c r="O146" s="689">
        <v>0</v>
      </c>
      <c r="P146" s="689">
        <v>0</v>
      </c>
      <c r="Q146" s="689">
        <v>0</v>
      </c>
      <c r="R146" s="689">
        <v>0</v>
      </c>
      <c r="S146" s="689">
        <v>0</v>
      </c>
      <c r="T146" s="902">
        <f>S146</f>
        <v>0</v>
      </c>
      <c r="U146" s="689">
        <f>S146</f>
        <v>0</v>
      </c>
      <c r="V146" s="689">
        <f>U146</f>
        <v>0</v>
      </c>
      <c r="W146" s="689">
        <f t="shared" ref="W146:AF146" si="393">V146</f>
        <v>0</v>
      </c>
      <c r="X146" s="689">
        <f t="shared" si="393"/>
        <v>0</v>
      </c>
      <c r="Y146" s="689">
        <f t="shared" si="393"/>
        <v>0</v>
      </c>
      <c r="Z146" s="689">
        <f t="shared" si="393"/>
        <v>0</v>
      </c>
      <c r="AA146" s="689">
        <f t="shared" si="393"/>
        <v>0</v>
      </c>
      <c r="AB146" s="689">
        <f t="shared" si="393"/>
        <v>0</v>
      </c>
      <c r="AC146" s="689">
        <f t="shared" si="393"/>
        <v>0</v>
      </c>
      <c r="AD146" s="689">
        <f t="shared" si="393"/>
        <v>0</v>
      </c>
      <c r="AE146" s="689">
        <f t="shared" si="393"/>
        <v>0</v>
      </c>
      <c r="AF146" s="689">
        <f t="shared" si="393"/>
        <v>0</v>
      </c>
      <c r="AG146" s="902">
        <f>AF146</f>
        <v>0</v>
      </c>
      <c r="AH146" s="899">
        <f>AF146</f>
        <v>0</v>
      </c>
      <c r="AI146" s="899">
        <f>AH146</f>
        <v>0</v>
      </c>
      <c r="AJ146" s="899">
        <f t="shared" ref="AJ146:AO146" si="394">AI146</f>
        <v>0</v>
      </c>
      <c r="AK146" s="899">
        <f t="shared" si="394"/>
        <v>0</v>
      </c>
      <c r="AL146" s="899">
        <f t="shared" si="394"/>
        <v>0</v>
      </c>
      <c r="AM146" s="899">
        <f t="shared" si="394"/>
        <v>0</v>
      </c>
      <c r="AN146" s="899">
        <f t="shared" si="394"/>
        <v>0</v>
      </c>
      <c r="AO146" s="1000">
        <f t="shared" si="394"/>
        <v>0</v>
      </c>
    </row>
    <row r="147" spans="1:42" s="18" customFormat="1" ht="13.15" customHeight="1" x14ac:dyDescent="0.2">
      <c r="A147" s="680" t="s">
        <v>252</v>
      </c>
      <c r="B147" s="680"/>
      <c r="C147" s="689">
        <v>0</v>
      </c>
      <c r="D147" s="689">
        <v>0</v>
      </c>
      <c r="E147" s="689">
        <v>0</v>
      </c>
      <c r="F147" s="689">
        <v>0</v>
      </c>
      <c r="G147" s="902">
        <f>SUM(C147:F147)</f>
        <v>0</v>
      </c>
      <c r="H147" s="689">
        <v>0</v>
      </c>
      <c r="I147" s="689">
        <v>0</v>
      </c>
      <c r="J147" s="689">
        <v>0</v>
      </c>
      <c r="K147" s="689">
        <v>0</v>
      </c>
      <c r="L147" s="689">
        <v>0</v>
      </c>
      <c r="M147" s="689">
        <v>0</v>
      </c>
      <c r="N147" s="689">
        <f t="shared" ref="N147:S147" si="395">100/12</f>
        <v>8.3333333333333339</v>
      </c>
      <c r="O147" s="689">
        <f t="shared" si="395"/>
        <v>8.3333333333333339</v>
      </c>
      <c r="P147" s="689">
        <f t="shared" si="395"/>
        <v>8.3333333333333339</v>
      </c>
      <c r="Q147" s="689">
        <f t="shared" si="395"/>
        <v>8.3333333333333339</v>
      </c>
      <c r="R147" s="689">
        <f t="shared" si="395"/>
        <v>8.3333333333333339</v>
      </c>
      <c r="S147" s="689">
        <f t="shared" si="395"/>
        <v>8.3333333333333339</v>
      </c>
      <c r="T147" s="917">
        <f>SUM(H147:S147)</f>
        <v>50.000000000000007</v>
      </c>
      <c r="U147" s="689">
        <f t="shared" ref="U147:AF147" si="396">100/12</f>
        <v>8.3333333333333339</v>
      </c>
      <c r="V147" s="689">
        <f t="shared" si="396"/>
        <v>8.3333333333333339</v>
      </c>
      <c r="W147" s="689">
        <f t="shared" si="396"/>
        <v>8.3333333333333339</v>
      </c>
      <c r="X147" s="689">
        <f t="shared" si="396"/>
        <v>8.3333333333333339</v>
      </c>
      <c r="Y147" s="689">
        <f t="shared" si="396"/>
        <v>8.3333333333333339</v>
      </c>
      <c r="Z147" s="689">
        <f t="shared" si="396"/>
        <v>8.3333333333333339</v>
      </c>
      <c r="AA147" s="689">
        <f t="shared" si="396"/>
        <v>8.3333333333333339</v>
      </c>
      <c r="AB147" s="689">
        <f t="shared" si="396"/>
        <v>8.3333333333333339</v>
      </c>
      <c r="AC147" s="689">
        <f t="shared" si="396"/>
        <v>8.3333333333333339</v>
      </c>
      <c r="AD147" s="689">
        <f t="shared" si="396"/>
        <v>8.3333333333333339</v>
      </c>
      <c r="AE147" s="689">
        <f t="shared" si="396"/>
        <v>8.3333333333333339</v>
      </c>
      <c r="AF147" s="689">
        <f t="shared" si="396"/>
        <v>8.3333333333333339</v>
      </c>
      <c r="AG147" s="917">
        <f>SUM(U147:AF147)</f>
        <v>99.999999999999986</v>
      </c>
      <c r="AH147" s="899">
        <v>100</v>
      </c>
      <c r="AI147" s="899">
        <v>100</v>
      </c>
      <c r="AJ147" s="899">
        <v>100</v>
      </c>
      <c r="AK147" s="899">
        <v>100</v>
      </c>
      <c r="AL147" s="899">
        <v>100</v>
      </c>
      <c r="AM147" s="899">
        <v>100</v>
      </c>
      <c r="AN147" s="899">
        <v>100</v>
      </c>
      <c r="AO147" s="1000">
        <v>100</v>
      </c>
    </row>
    <row r="148" spans="1:42" s="18" customFormat="1" ht="13.15" customHeight="1" x14ac:dyDescent="0.2">
      <c r="A148" s="680" t="s">
        <v>254</v>
      </c>
      <c r="B148" s="680"/>
      <c r="C148" s="690">
        <f t="shared" ref="C148:F148" si="397">C146*C147</f>
        <v>0</v>
      </c>
      <c r="D148" s="690">
        <f t="shared" si="397"/>
        <v>0</v>
      </c>
      <c r="E148" s="690">
        <f t="shared" si="397"/>
        <v>0</v>
      </c>
      <c r="F148" s="690">
        <f t="shared" si="397"/>
        <v>0</v>
      </c>
      <c r="G148" s="902">
        <f>SUM(C148:F148)</f>
        <v>0</v>
      </c>
      <c r="H148" s="690">
        <f t="shared" ref="H148:M148" si="398">H146*H147</f>
        <v>0</v>
      </c>
      <c r="I148" s="690">
        <f t="shared" si="398"/>
        <v>0</v>
      </c>
      <c r="J148" s="690">
        <f t="shared" si="398"/>
        <v>0</v>
      </c>
      <c r="K148" s="690">
        <f t="shared" si="398"/>
        <v>0</v>
      </c>
      <c r="L148" s="690">
        <f t="shared" si="398"/>
        <v>0</v>
      </c>
      <c r="M148" s="690">
        <f t="shared" si="398"/>
        <v>0</v>
      </c>
      <c r="N148" s="690">
        <f t="shared" ref="N148:S148" si="399">N146*N147</f>
        <v>0</v>
      </c>
      <c r="O148" s="690">
        <f t="shared" si="399"/>
        <v>0</v>
      </c>
      <c r="P148" s="690">
        <f t="shared" si="399"/>
        <v>0</v>
      </c>
      <c r="Q148" s="690">
        <f t="shared" si="399"/>
        <v>0</v>
      </c>
      <c r="R148" s="690">
        <f t="shared" si="399"/>
        <v>0</v>
      </c>
      <c r="S148" s="690">
        <f t="shared" si="399"/>
        <v>0</v>
      </c>
      <c r="T148" s="917">
        <f>SUM(H148:S148)</f>
        <v>0</v>
      </c>
      <c r="U148" s="690">
        <f t="shared" ref="U148:AF148" si="400">U146*U147</f>
        <v>0</v>
      </c>
      <c r="V148" s="690">
        <f t="shared" si="400"/>
        <v>0</v>
      </c>
      <c r="W148" s="690">
        <f t="shared" si="400"/>
        <v>0</v>
      </c>
      <c r="X148" s="690">
        <f t="shared" si="400"/>
        <v>0</v>
      </c>
      <c r="Y148" s="690">
        <f t="shared" si="400"/>
        <v>0</v>
      </c>
      <c r="Z148" s="690">
        <f t="shared" si="400"/>
        <v>0</v>
      </c>
      <c r="AA148" s="690">
        <f t="shared" si="400"/>
        <v>0</v>
      </c>
      <c r="AB148" s="690">
        <f t="shared" si="400"/>
        <v>0</v>
      </c>
      <c r="AC148" s="690">
        <f t="shared" si="400"/>
        <v>0</v>
      </c>
      <c r="AD148" s="690">
        <f t="shared" si="400"/>
        <v>0</v>
      </c>
      <c r="AE148" s="690">
        <f t="shared" si="400"/>
        <v>0</v>
      </c>
      <c r="AF148" s="690">
        <f t="shared" si="400"/>
        <v>0</v>
      </c>
      <c r="AG148" s="902">
        <f>SUM(U148:AF148)</f>
        <v>0</v>
      </c>
      <c r="AH148" s="902">
        <f t="shared" ref="AH148:AO148" si="401">AH146*AH147</f>
        <v>0</v>
      </c>
      <c r="AI148" s="902">
        <f t="shared" si="401"/>
        <v>0</v>
      </c>
      <c r="AJ148" s="902">
        <f t="shared" si="401"/>
        <v>0</v>
      </c>
      <c r="AK148" s="902">
        <f t="shared" si="401"/>
        <v>0</v>
      </c>
      <c r="AL148" s="902">
        <f t="shared" si="401"/>
        <v>0</v>
      </c>
      <c r="AM148" s="902">
        <f t="shared" si="401"/>
        <v>0</v>
      </c>
      <c r="AN148" s="902">
        <f t="shared" si="401"/>
        <v>0</v>
      </c>
      <c r="AO148" s="996">
        <f t="shared" si="401"/>
        <v>0</v>
      </c>
    </row>
    <row r="149" spans="1:42" s="18" customFormat="1" ht="13.15" customHeight="1" x14ac:dyDescent="0.2">
      <c r="A149" s="680" t="s">
        <v>249</v>
      </c>
      <c r="B149" s="680"/>
      <c r="C149" s="686">
        <f t="shared" ref="C149:F149" si="402">C143</f>
        <v>3.5</v>
      </c>
      <c r="D149" s="686">
        <f t="shared" si="402"/>
        <v>3.5</v>
      </c>
      <c r="E149" s="686">
        <f t="shared" si="402"/>
        <v>3.5</v>
      </c>
      <c r="F149" s="686">
        <f t="shared" si="402"/>
        <v>3.5</v>
      </c>
      <c r="G149" s="903">
        <f>F149</f>
        <v>3.5</v>
      </c>
      <c r="H149" s="686">
        <f t="shared" ref="H149:M149" si="403">H143</f>
        <v>3.5</v>
      </c>
      <c r="I149" s="686">
        <f t="shared" si="403"/>
        <v>3.5</v>
      </c>
      <c r="J149" s="686">
        <f t="shared" si="403"/>
        <v>3.5</v>
      </c>
      <c r="K149" s="686">
        <f t="shared" si="403"/>
        <v>3.5</v>
      </c>
      <c r="L149" s="686">
        <f t="shared" si="403"/>
        <v>3.5</v>
      </c>
      <c r="M149" s="686">
        <f t="shared" si="403"/>
        <v>3.5</v>
      </c>
      <c r="N149" s="686">
        <f t="shared" ref="N149:AO149" si="404">N143</f>
        <v>3.5</v>
      </c>
      <c r="O149" s="686">
        <f t="shared" si="404"/>
        <v>3.5</v>
      </c>
      <c r="P149" s="686">
        <f t="shared" si="404"/>
        <v>3.5</v>
      </c>
      <c r="Q149" s="686">
        <f t="shared" si="404"/>
        <v>3.5</v>
      </c>
      <c r="R149" s="686">
        <f t="shared" si="404"/>
        <v>3.5</v>
      </c>
      <c r="S149" s="686">
        <f t="shared" si="404"/>
        <v>3.5</v>
      </c>
      <c r="T149" s="919">
        <f t="shared" si="404"/>
        <v>3.5</v>
      </c>
      <c r="U149" s="686">
        <f t="shared" si="404"/>
        <v>3.5</v>
      </c>
      <c r="V149" s="686">
        <f t="shared" si="404"/>
        <v>3.5</v>
      </c>
      <c r="W149" s="686">
        <f t="shared" si="404"/>
        <v>3.5</v>
      </c>
      <c r="X149" s="686">
        <f t="shared" si="404"/>
        <v>3.5</v>
      </c>
      <c r="Y149" s="686">
        <f t="shared" si="404"/>
        <v>3.5</v>
      </c>
      <c r="Z149" s="686">
        <f t="shared" si="404"/>
        <v>3.5</v>
      </c>
      <c r="AA149" s="686">
        <f t="shared" si="404"/>
        <v>3.5</v>
      </c>
      <c r="AB149" s="686">
        <f t="shared" si="404"/>
        <v>3.5</v>
      </c>
      <c r="AC149" s="686">
        <f t="shared" si="404"/>
        <v>3.5</v>
      </c>
      <c r="AD149" s="686">
        <f t="shared" si="404"/>
        <v>3.5</v>
      </c>
      <c r="AE149" s="686">
        <f t="shared" si="404"/>
        <v>3.5</v>
      </c>
      <c r="AF149" s="686">
        <f t="shared" si="404"/>
        <v>3.5</v>
      </c>
      <c r="AG149" s="919">
        <f t="shared" si="404"/>
        <v>3.5</v>
      </c>
      <c r="AH149" s="919">
        <f t="shared" si="404"/>
        <v>3.5</v>
      </c>
      <c r="AI149" s="919">
        <f t="shared" si="404"/>
        <v>3.5</v>
      </c>
      <c r="AJ149" s="919">
        <f t="shared" si="404"/>
        <v>3.5</v>
      </c>
      <c r="AK149" s="919">
        <f t="shared" si="404"/>
        <v>3.5</v>
      </c>
      <c r="AL149" s="919">
        <f t="shared" si="404"/>
        <v>3.5</v>
      </c>
      <c r="AM149" s="919">
        <f t="shared" si="404"/>
        <v>3.5</v>
      </c>
      <c r="AN149" s="919">
        <f t="shared" si="404"/>
        <v>3.5</v>
      </c>
      <c r="AO149" s="998">
        <f t="shared" si="404"/>
        <v>3.5</v>
      </c>
    </row>
    <row r="150" spans="1:42" s="18" customFormat="1" ht="13.15" customHeight="1" x14ac:dyDescent="0.2">
      <c r="A150" s="680" t="s">
        <v>255</v>
      </c>
      <c r="B150" s="680"/>
      <c r="C150" s="690">
        <f t="shared" ref="C150:F150" si="405">C148*C149</f>
        <v>0</v>
      </c>
      <c r="D150" s="690">
        <f t="shared" si="405"/>
        <v>0</v>
      </c>
      <c r="E150" s="690">
        <f t="shared" si="405"/>
        <v>0</v>
      </c>
      <c r="F150" s="690">
        <f t="shared" si="405"/>
        <v>0</v>
      </c>
      <c r="G150" s="902">
        <f>SUM(C150:F150)</f>
        <v>0</v>
      </c>
      <c r="H150" s="690">
        <f t="shared" ref="H150:M150" si="406">H148*H149</f>
        <v>0</v>
      </c>
      <c r="I150" s="690">
        <f t="shared" si="406"/>
        <v>0</v>
      </c>
      <c r="J150" s="690">
        <f t="shared" si="406"/>
        <v>0</v>
      </c>
      <c r="K150" s="690">
        <f t="shared" si="406"/>
        <v>0</v>
      </c>
      <c r="L150" s="690">
        <f t="shared" si="406"/>
        <v>0</v>
      </c>
      <c r="M150" s="690">
        <f t="shared" si="406"/>
        <v>0</v>
      </c>
      <c r="N150" s="690">
        <f t="shared" ref="N150:S150" si="407">N148*N149</f>
        <v>0</v>
      </c>
      <c r="O150" s="690">
        <f t="shared" si="407"/>
        <v>0</v>
      </c>
      <c r="P150" s="690">
        <f t="shared" si="407"/>
        <v>0</v>
      </c>
      <c r="Q150" s="690">
        <f t="shared" si="407"/>
        <v>0</v>
      </c>
      <c r="R150" s="690">
        <f t="shared" si="407"/>
        <v>0</v>
      </c>
      <c r="S150" s="690">
        <f t="shared" si="407"/>
        <v>0</v>
      </c>
      <c r="T150" s="918">
        <f>SUM(H150:S150)</f>
        <v>0</v>
      </c>
      <c r="U150" s="690">
        <f t="shared" ref="U150:AF150" si="408">U148*U149</f>
        <v>0</v>
      </c>
      <c r="V150" s="690">
        <f t="shared" si="408"/>
        <v>0</v>
      </c>
      <c r="W150" s="690">
        <f t="shared" si="408"/>
        <v>0</v>
      </c>
      <c r="X150" s="690">
        <f t="shared" si="408"/>
        <v>0</v>
      </c>
      <c r="Y150" s="690">
        <f t="shared" si="408"/>
        <v>0</v>
      </c>
      <c r="Z150" s="690">
        <f t="shared" si="408"/>
        <v>0</v>
      </c>
      <c r="AA150" s="690">
        <f t="shared" si="408"/>
        <v>0</v>
      </c>
      <c r="AB150" s="690">
        <f t="shared" si="408"/>
        <v>0</v>
      </c>
      <c r="AC150" s="690">
        <f t="shared" si="408"/>
        <v>0</v>
      </c>
      <c r="AD150" s="690">
        <f t="shared" si="408"/>
        <v>0</v>
      </c>
      <c r="AE150" s="690">
        <f t="shared" si="408"/>
        <v>0</v>
      </c>
      <c r="AF150" s="690">
        <f t="shared" si="408"/>
        <v>0</v>
      </c>
      <c r="AG150" s="918">
        <f>SUM(U150:AF150)</f>
        <v>0</v>
      </c>
      <c r="AH150" s="902">
        <f t="shared" ref="AH150:AO150" si="409">AH148*AH149</f>
        <v>0</v>
      </c>
      <c r="AI150" s="902">
        <f t="shared" si="409"/>
        <v>0</v>
      </c>
      <c r="AJ150" s="902">
        <f t="shared" si="409"/>
        <v>0</v>
      </c>
      <c r="AK150" s="902">
        <f t="shared" si="409"/>
        <v>0</v>
      </c>
      <c r="AL150" s="902">
        <f t="shared" si="409"/>
        <v>0</v>
      </c>
      <c r="AM150" s="902">
        <f t="shared" si="409"/>
        <v>0</v>
      </c>
      <c r="AN150" s="902">
        <f t="shared" si="409"/>
        <v>0</v>
      </c>
      <c r="AO150" s="996">
        <f t="shared" si="409"/>
        <v>0</v>
      </c>
    </row>
    <row r="151" spans="1:42" s="18" customFormat="1" ht="13.15" customHeight="1" x14ac:dyDescent="0.2">
      <c r="A151" s="674"/>
      <c r="B151" s="674"/>
      <c r="C151" s="682"/>
      <c r="D151" s="682"/>
      <c r="E151" s="682"/>
      <c r="F151" s="682"/>
      <c r="G151" s="900"/>
      <c r="H151" s="682"/>
      <c r="I151" s="682"/>
      <c r="J151" s="682"/>
      <c r="K151" s="682"/>
      <c r="L151" s="682"/>
      <c r="M151" s="682"/>
      <c r="N151" s="682"/>
      <c r="O151" s="682"/>
      <c r="P151" s="682"/>
      <c r="Q151" s="682"/>
      <c r="R151" s="682"/>
      <c r="S151" s="682"/>
      <c r="T151" s="917"/>
      <c r="U151" s="682"/>
      <c r="V151" s="682"/>
      <c r="W151" s="682"/>
      <c r="X151" s="682"/>
      <c r="Y151" s="682"/>
      <c r="Z151" s="682"/>
      <c r="AA151" s="682"/>
      <c r="AB151" s="682"/>
      <c r="AC151" s="682"/>
      <c r="AD151" s="682"/>
      <c r="AE151" s="682"/>
      <c r="AF151" s="682"/>
      <c r="AG151" s="917"/>
      <c r="AH151" s="917"/>
      <c r="AI151" s="917"/>
      <c r="AJ151" s="917"/>
      <c r="AK151" s="924"/>
      <c r="AL151" s="924"/>
      <c r="AM151" s="924"/>
      <c r="AN151" s="924"/>
      <c r="AO151" s="995"/>
    </row>
    <row r="152" spans="1:42" s="18" customFormat="1" ht="13.15" customHeight="1" x14ac:dyDescent="0.2">
      <c r="A152" s="680" t="s">
        <v>256</v>
      </c>
      <c r="B152" s="680"/>
      <c r="C152" s="689">
        <v>0</v>
      </c>
      <c r="D152" s="689">
        <v>0</v>
      </c>
      <c r="E152" s="689">
        <v>0</v>
      </c>
      <c r="F152" s="689">
        <v>0</v>
      </c>
      <c r="G152" s="902">
        <f>F152</f>
        <v>0</v>
      </c>
      <c r="H152" s="689">
        <v>0</v>
      </c>
      <c r="I152" s="689">
        <v>0</v>
      </c>
      <c r="J152" s="689">
        <v>0</v>
      </c>
      <c r="K152" s="689">
        <v>0</v>
      </c>
      <c r="L152" s="689">
        <v>0</v>
      </c>
      <c r="M152" s="689">
        <v>0</v>
      </c>
      <c r="N152" s="689">
        <v>0</v>
      </c>
      <c r="O152" s="689">
        <v>0</v>
      </c>
      <c r="P152" s="689">
        <v>0</v>
      </c>
      <c r="Q152" s="689">
        <v>0</v>
      </c>
      <c r="R152" s="689">
        <v>0</v>
      </c>
      <c r="S152" s="689">
        <v>0</v>
      </c>
      <c r="T152" s="902">
        <f>S152</f>
        <v>0</v>
      </c>
      <c r="U152" s="689">
        <f>S152</f>
        <v>0</v>
      </c>
      <c r="V152" s="689">
        <f>U152</f>
        <v>0</v>
      </c>
      <c r="W152" s="689">
        <f t="shared" ref="W152:AF152" si="410">V152</f>
        <v>0</v>
      </c>
      <c r="X152" s="689">
        <f t="shared" si="410"/>
        <v>0</v>
      </c>
      <c r="Y152" s="689">
        <f t="shared" si="410"/>
        <v>0</v>
      </c>
      <c r="Z152" s="689">
        <f t="shared" si="410"/>
        <v>0</v>
      </c>
      <c r="AA152" s="689">
        <f t="shared" si="410"/>
        <v>0</v>
      </c>
      <c r="AB152" s="689">
        <f t="shared" si="410"/>
        <v>0</v>
      </c>
      <c r="AC152" s="689">
        <f t="shared" si="410"/>
        <v>0</v>
      </c>
      <c r="AD152" s="689">
        <f t="shared" si="410"/>
        <v>0</v>
      </c>
      <c r="AE152" s="689">
        <f t="shared" si="410"/>
        <v>0</v>
      </c>
      <c r="AF152" s="689">
        <f t="shared" si="410"/>
        <v>0</v>
      </c>
      <c r="AG152" s="902">
        <f>AF152</f>
        <v>0</v>
      </c>
      <c r="AH152" s="899">
        <f>AF152</f>
        <v>0</v>
      </c>
      <c r="AI152" s="899">
        <f>AH152</f>
        <v>0</v>
      </c>
      <c r="AJ152" s="899">
        <f t="shared" ref="AJ152:AO152" si="411">AI152</f>
        <v>0</v>
      </c>
      <c r="AK152" s="899">
        <f t="shared" si="411"/>
        <v>0</v>
      </c>
      <c r="AL152" s="899">
        <f t="shared" si="411"/>
        <v>0</v>
      </c>
      <c r="AM152" s="899">
        <f t="shared" si="411"/>
        <v>0</v>
      </c>
      <c r="AN152" s="899">
        <f t="shared" si="411"/>
        <v>0</v>
      </c>
      <c r="AO152" s="1000">
        <f t="shared" si="411"/>
        <v>0</v>
      </c>
    </row>
    <row r="153" spans="1:42" s="18" customFormat="1" ht="13.15" customHeight="1" x14ac:dyDescent="0.2">
      <c r="A153" s="680" t="s">
        <v>252</v>
      </c>
      <c r="B153" s="680"/>
      <c r="C153" s="689">
        <v>0</v>
      </c>
      <c r="D153" s="689">
        <v>0</v>
      </c>
      <c r="E153" s="689">
        <v>0</v>
      </c>
      <c r="F153" s="689">
        <v>0</v>
      </c>
      <c r="G153" s="902">
        <f>SUM(C153:F153)</f>
        <v>0</v>
      </c>
      <c r="H153" s="689">
        <v>0</v>
      </c>
      <c r="I153" s="689">
        <v>0</v>
      </c>
      <c r="J153" s="689">
        <v>0</v>
      </c>
      <c r="K153" s="689">
        <v>0</v>
      </c>
      <c r="L153" s="689">
        <v>0</v>
      </c>
      <c r="M153" s="689">
        <v>0</v>
      </c>
      <c r="N153" s="689">
        <f t="shared" ref="N153:S153" si="412">300/12</f>
        <v>25</v>
      </c>
      <c r="O153" s="689">
        <f t="shared" si="412"/>
        <v>25</v>
      </c>
      <c r="P153" s="689">
        <f t="shared" si="412"/>
        <v>25</v>
      </c>
      <c r="Q153" s="689">
        <f t="shared" si="412"/>
        <v>25</v>
      </c>
      <c r="R153" s="689">
        <f t="shared" si="412"/>
        <v>25</v>
      </c>
      <c r="S153" s="689">
        <f t="shared" si="412"/>
        <v>25</v>
      </c>
      <c r="T153" s="917">
        <f>SUM(H153:S153)</f>
        <v>150</v>
      </c>
      <c r="U153" s="689">
        <f>300/12</f>
        <v>25</v>
      </c>
      <c r="V153" s="689">
        <f t="shared" ref="V153:AF153" si="413">300/12</f>
        <v>25</v>
      </c>
      <c r="W153" s="689">
        <f t="shared" si="413"/>
        <v>25</v>
      </c>
      <c r="X153" s="689">
        <f t="shared" si="413"/>
        <v>25</v>
      </c>
      <c r="Y153" s="689">
        <f t="shared" si="413"/>
        <v>25</v>
      </c>
      <c r="Z153" s="689">
        <f t="shared" si="413"/>
        <v>25</v>
      </c>
      <c r="AA153" s="689">
        <f t="shared" si="413"/>
        <v>25</v>
      </c>
      <c r="AB153" s="689">
        <f t="shared" si="413"/>
        <v>25</v>
      </c>
      <c r="AC153" s="689">
        <f t="shared" si="413"/>
        <v>25</v>
      </c>
      <c r="AD153" s="689">
        <f t="shared" si="413"/>
        <v>25</v>
      </c>
      <c r="AE153" s="689">
        <f t="shared" si="413"/>
        <v>25</v>
      </c>
      <c r="AF153" s="689">
        <f t="shared" si="413"/>
        <v>25</v>
      </c>
      <c r="AG153" s="917">
        <f>SUM(U153:AF153)</f>
        <v>300</v>
      </c>
      <c r="AH153" s="899">
        <v>300</v>
      </c>
      <c r="AI153" s="899">
        <v>300</v>
      </c>
      <c r="AJ153" s="899">
        <v>300</v>
      </c>
      <c r="AK153" s="899">
        <v>300</v>
      </c>
      <c r="AL153" s="899">
        <v>300</v>
      </c>
      <c r="AM153" s="899">
        <v>300</v>
      </c>
      <c r="AN153" s="899">
        <v>300</v>
      </c>
      <c r="AO153" s="1000">
        <v>300</v>
      </c>
    </row>
    <row r="154" spans="1:42" s="18" customFormat="1" ht="13.15" customHeight="1" x14ac:dyDescent="0.2">
      <c r="A154" s="680" t="s">
        <v>254</v>
      </c>
      <c r="B154" s="680"/>
      <c r="C154" s="690">
        <f t="shared" ref="C154:F154" si="414">C152*C153</f>
        <v>0</v>
      </c>
      <c r="D154" s="690">
        <f t="shared" si="414"/>
        <v>0</v>
      </c>
      <c r="E154" s="690">
        <f t="shared" si="414"/>
        <v>0</v>
      </c>
      <c r="F154" s="690">
        <f t="shared" si="414"/>
        <v>0</v>
      </c>
      <c r="G154" s="902">
        <f>SUM(C154:F154)</f>
        <v>0</v>
      </c>
      <c r="H154" s="690">
        <f t="shared" ref="H154:M154" si="415">H152*H153</f>
        <v>0</v>
      </c>
      <c r="I154" s="690">
        <f t="shared" si="415"/>
        <v>0</v>
      </c>
      <c r="J154" s="690">
        <f t="shared" si="415"/>
        <v>0</v>
      </c>
      <c r="K154" s="690">
        <f t="shared" si="415"/>
        <v>0</v>
      </c>
      <c r="L154" s="690">
        <f t="shared" si="415"/>
        <v>0</v>
      </c>
      <c r="M154" s="690">
        <f t="shared" si="415"/>
        <v>0</v>
      </c>
      <c r="N154" s="690">
        <f t="shared" ref="N154:S154" si="416">N152*N153</f>
        <v>0</v>
      </c>
      <c r="O154" s="690">
        <f t="shared" si="416"/>
        <v>0</v>
      </c>
      <c r="P154" s="690">
        <f t="shared" si="416"/>
        <v>0</v>
      </c>
      <c r="Q154" s="690">
        <f t="shared" si="416"/>
        <v>0</v>
      </c>
      <c r="R154" s="690">
        <f t="shared" si="416"/>
        <v>0</v>
      </c>
      <c r="S154" s="690">
        <f t="shared" si="416"/>
        <v>0</v>
      </c>
      <c r="T154" s="917">
        <f>SUM(H154:S154)</f>
        <v>0</v>
      </c>
      <c r="U154" s="690">
        <f t="shared" ref="U154:AF154" si="417">U152*U153</f>
        <v>0</v>
      </c>
      <c r="V154" s="690">
        <f t="shared" si="417"/>
        <v>0</v>
      </c>
      <c r="W154" s="690">
        <f t="shared" si="417"/>
        <v>0</v>
      </c>
      <c r="X154" s="690">
        <f t="shared" si="417"/>
        <v>0</v>
      </c>
      <c r="Y154" s="690">
        <f t="shared" si="417"/>
        <v>0</v>
      </c>
      <c r="Z154" s="690">
        <f t="shared" si="417"/>
        <v>0</v>
      </c>
      <c r="AA154" s="690">
        <f t="shared" si="417"/>
        <v>0</v>
      </c>
      <c r="AB154" s="690">
        <f t="shared" si="417"/>
        <v>0</v>
      </c>
      <c r="AC154" s="690">
        <f t="shared" si="417"/>
        <v>0</v>
      </c>
      <c r="AD154" s="690">
        <f t="shared" si="417"/>
        <v>0</v>
      </c>
      <c r="AE154" s="690">
        <f t="shared" si="417"/>
        <v>0</v>
      </c>
      <c r="AF154" s="690">
        <f t="shared" si="417"/>
        <v>0</v>
      </c>
      <c r="AG154" s="917">
        <f>SUM(U154:AF154)</f>
        <v>0</v>
      </c>
      <c r="AH154" s="902">
        <f t="shared" ref="AH154:AO154" si="418">AH152*AH153</f>
        <v>0</v>
      </c>
      <c r="AI154" s="902">
        <f t="shared" si="418"/>
        <v>0</v>
      </c>
      <c r="AJ154" s="902">
        <f t="shared" si="418"/>
        <v>0</v>
      </c>
      <c r="AK154" s="902">
        <f t="shared" si="418"/>
        <v>0</v>
      </c>
      <c r="AL154" s="902">
        <f t="shared" si="418"/>
        <v>0</v>
      </c>
      <c r="AM154" s="902">
        <f t="shared" si="418"/>
        <v>0</v>
      </c>
      <c r="AN154" s="902">
        <f t="shared" si="418"/>
        <v>0</v>
      </c>
      <c r="AO154" s="996">
        <f t="shared" si="418"/>
        <v>0</v>
      </c>
    </row>
    <row r="155" spans="1:42" s="18" customFormat="1" ht="13.15" customHeight="1" x14ac:dyDescent="0.2">
      <c r="A155" s="680" t="s">
        <v>249</v>
      </c>
      <c r="B155" s="680"/>
      <c r="C155" s="686">
        <f t="shared" ref="C155:F155" si="419">C143</f>
        <v>3.5</v>
      </c>
      <c r="D155" s="686">
        <f t="shared" si="419"/>
        <v>3.5</v>
      </c>
      <c r="E155" s="686">
        <f t="shared" si="419"/>
        <v>3.5</v>
      </c>
      <c r="F155" s="686">
        <f t="shared" si="419"/>
        <v>3.5</v>
      </c>
      <c r="G155" s="903">
        <f>F155</f>
        <v>3.5</v>
      </c>
      <c r="H155" s="686">
        <f t="shared" ref="H155:M155" si="420">H143</f>
        <v>3.5</v>
      </c>
      <c r="I155" s="686">
        <f t="shared" si="420"/>
        <v>3.5</v>
      </c>
      <c r="J155" s="686">
        <f t="shared" si="420"/>
        <v>3.5</v>
      </c>
      <c r="K155" s="686">
        <f t="shared" si="420"/>
        <v>3.5</v>
      </c>
      <c r="L155" s="686">
        <f t="shared" si="420"/>
        <v>3.5</v>
      </c>
      <c r="M155" s="686">
        <f t="shared" si="420"/>
        <v>3.5</v>
      </c>
      <c r="N155" s="686">
        <f t="shared" ref="N155:AO155" si="421">N143</f>
        <v>3.5</v>
      </c>
      <c r="O155" s="686">
        <f t="shared" si="421"/>
        <v>3.5</v>
      </c>
      <c r="P155" s="686">
        <f t="shared" si="421"/>
        <v>3.5</v>
      </c>
      <c r="Q155" s="686">
        <f t="shared" si="421"/>
        <v>3.5</v>
      </c>
      <c r="R155" s="686">
        <f t="shared" si="421"/>
        <v>3.5</v>
      </c>
      <c r="S155" s="686">
        <f t="shared" si="421"/>
        <v>3.5</v>
      </c>
      <c r="T155" s="919">
        <f t="shared" si="421"/>
        <v>3.5</v>
      </c>
      <c r="U155" s="686">
        <f t="shared" si="421"/>
        <v>3.5</v>
      </c>
      <c r="V155" s="686">
        <f t="shared" si="421"/>
        <v>3.5</v>
      </c>
      <c r="W155" s="686">
        <f t="shared" si="421"/>
        <v>3.5</v>
      </c>
      <c r="X155" s="686">
        <f t="shared" si="421"/>
        <v>3.5</v>
      </c>
      <c r="Y155" s="686">
        <f t="shared" si="421"/>
        <v>3.5</v>
      </c>
      <c r="Z155" s="686">
        <f t="shared" si="421"/>
        <v>3.5</v>
      </c>
      <c r="AA155" s="686">
        <f t="shared" si="421"/>
        <v>3.5</v>
      </c>
      <c r="AB155" s="686">
        <f t="shared" si="421"/>
        <v>3.5</v>
      </c>
      <c r="AC155" s="686">
        <f t="shared" si="421"/>
        <v>3.5</v>
      </c>
      <c r="AD155" s="686">
        <f t="shared" si="421"/>
        <v>3.5</v>
      </c>
      <c r="AE155" s="686">
        <f t="shared" si="421"/>
        <v>3.5</v>
      </c>
      <c r="AF155" s="686">
        <f t="shared" si="421"/>
        <v>3.5</v>
      </c>
      <c r="AG155" s="919">
        <f t="shared" si="421"/>
        <v>3.5</v>
      </c>
      <c r="AH155" s="919">
        <f t="shared" si="421"/>
        <v>3.5</v>
      </c>
      <c r="AI155" s="919">
        <f t="shared" si="421"/>
        <v>3.5</v>
      </c>
      <c r="AJ155" s="919">
        <f t="shared" si="421"/>
        <v>3.5</v>
      </c>
      <c r="AK155" s="919">
        <f t="shared" si="421"/>
        <v>3.5</v>
      </c>
      <c r="AL155" s="919">
        <f t="shared" si="421"/>
        <v>3.5</v>
      </c>
      <c r="AM155" s="919">
        <f t="shared" si="421"/>
        <v>3.5</v>
      </c>
      <c r="AN155" s="919">
        <f t="shared" si="421"/>
        <v>3.5</v>
      </c>
      <c r="AO155" s="998">
        <f t="shared" si="421"/>
        <v>3.5</v>
      </c>
    </row>
    <row r="156" spans="1:42" s="18" customFormat="1" ht="13.15" customHeight="1" x14ac:dyDescent="0.2">
      <c r="A156" s="680" t="s">
        <v>255</v>
      </c>
      <c r="B156" s="680"/>
      <c r="C156" s="690">
        <f t="shared" ref="C156:F156" si="422">C154*C155</f>
        <v>0</v>
      </c>
      <c r="D156" s="690">
        <f t="shared" si="422"/>
        <v>0</v>
      </c>
      <c r="E156" s="690">
        <f t="shared" si="422"/>
        <v>0</v>
      </c>
      <c r="F156" s="690">
        <f t="shared" si="422"/>
        <v>0</v>
      </c>
      <c r="G156" s="902">
        <f>SUM(C156:F156)</f>
        <v>0</v>
      </c>
      <c r="H156" s="690">
        <f t="shared" ref="H156:M156" si="423">H154*H155</f>
        <v>0</v>
      </c>
      <c r="I156" s="690">
        <f t="shared" si="423"/>
        <v>0</v>
      </c>
      <c r="J156" s="690">
        <f t="shared" si="423"/>
        <v>0</v>
      </c>
      <c r="K156" s="690">
        <f t="shared" si="423"/>
        <v>0</v>
      </c>
      <c r="L156" s="690">
        <f t="shared" si="423"/>
        <v>0</v>
      </c>
      <c r="M156" s="690">
        <f t="shared" si="423"/>
        <v>0</v>
      </c>
      <c r="N156" s="690">
        <f t="shared" ref="N156:S156" si="424">N154*N155</f>
        <v>0</v>
      </c>
      <c r="O156" s="690">
        <f t="shared" si="424"/>
        <v>0</v>
      </c>
      <c r="P156" s="690">
        <f t="shared" si="424"/>
        <v>0</v>
      </c>
      <c r="Q156" s="690">
        <f t="shared" si="424"/>
        <v>0</v>
      </c>
      <c r="R156" s="690">
        <f t="shared" si="424"/>
        <v>0</v>
      </c>
      <c r="S156" s="690">
        <f t="shared" si="424"/>
        <v>0</v>
      </c>
      <c r="T156" s="918">
        <f>SUM(H156:S156)</f>
        <v>0</v>
      </c>
      <c r="U156" s="690">
        <f t="shared" ref="U156:AF156" si="425">U154*U155</f>
        <v>0</v>
      </c>
      <c r="V156" s="690">
        <f t="shared" si="425"/>
        <v>0</v>
      </c>
      <c r="W156" s="690">
        <f t="shared" si="425"/>
        <v>0</v>
      </c>
      <c r="X156" s="690">
        <f t="shared" si="425"/>
        <v>0</v>
      </c>
      <c r="Y156" s="690">
        <f t="shared" si="425"/>
        <v>0</v>
      </c>
      <c r="Z156" s="690">
        <f t="shared" si="425"/>
        <v>0</v>
      </c>
      <c r="AA156" s="690">
        <f t="shared" si="425"/>
        <v>0</v>
      </c>
      <c r="AB156" s="690">
        <f t="shared" si="425"/>
        <v>0</v>
      </c>
      <c r="AC156" s="690">
        <f t="shared" si="425"/>
        <v>0</v>
      </c>
      <c r="AD156" s="690">
        <f t="shared" si="425"/>
        <v>0</v>
      </c>
      <c r="AE156" s="690">
        <f t="shared" si="425"/>
        <v>0</v>
      </c>
      <c r="AF156" s="690">
        <f t="shared" si="425"/>
        <v>0</v>
      </c>
      <c r="AG156" s="918">
        <f>SUM(U156:AF156)</f>
        <v>0</v>
      </c>
      <c r="AH156" s="902">
        <f t="shared" ref="AH156:AO156" si="426">AH154*AH155</f>
        <v>0</v>
      </c>
      <c r="AI156" s="902">
        <f t="shared" si="426"/>
        <v>0</v>
      </c>
      <c r="AJ156" s="902">
        <f t="shared" si="426"/>
        <v>0</v>
      </c>
      <c r="AK156" s="902">
        <f t="shared" si="426"/>
        <v>0</v>
      </c>
      <c r="AL156" s="902">
        <f t="shared" si="426"/>
        <v>0</v>
      </c>
      <c r="AM156" s="902">
        <f t="shared" si="426"/>
        <v>0</v>
      </c>
      <c r="AN156" s="902">
        <f t="shared" si="426"/>
        <v>0</v>
      </c>
      <c r="AO156" s="996">
        <f t="shared" si="426"/>
        <v>0</v>
      </c>
    </row>
    <row r="157" spans="1:42" s="18" customFormat="1" ht="13.15" customHeight="1" x14ac:dyDescent="0.2">
      <c r="A157" s="680"/>
      <c r="B157" s="680"/>
      <c r="C157" s="682"/>
      <c r="D157" s="682"/>
      <c r="E157" s="682"/>
      <c r="F157" s="682"/>
      <c r="G157" s="900"/>
      <c r="H157" s="682"/>
      <c r="I157" s="682"/>
      <c r="J157" s="682"/>
      <c r="K157" s="682"/>
      <c r="L157" s="682"/>
      <c r="M157" s="682"/>
      <c r="N157" s="682"/>
      <c r="O157" s="682"/>
      <c r="P157" s="682"/>
      <c r="Q157" s="682"/>
      <c r="R157" s="682"/>
      <c r="S157" s="682"/>
      <c r="T157" s="917"/>
      <c r="U157" s="682"/>
      <c r="V157" s="682"/>
      <c r="W157" s="682"/>
      <c r="X157" s="682"/>
      <c r="Y157" s="682"/>
      <c r="Z157" s="682"/>
      <c r="AA157" s="682"/>
      <c r="AB157" s="682"/>
      <c r="AC157" s="682"/>
      <c r="AD157" s="682"/>
      <c r="AE157" s="682"/>
      <c r="AF157" s="682"/>
      <c r="AG157" s="917"/>
      <c r="AH157" s="917"/>
      <c r="AI157" s="917"/>
      <c r="AJ157" s="917"/>
      <c r="AK157" s="924"/>
      <c r="AL157" s="924"/>
      <c r="AM157" s="924"/>
      <c r="AN157" s="924"/>
      <c r="AO157" s="995"/>
    </row>
    <row r="158" spans="1:42" s="277" customFormat="1" ht="13.15" customHeight="1" x14ac:dyDescent="0.2">
      <c r="A158" s="676" t="s">
        <v>257</v>
      </c>
      <c r="B158" s="676"/>
      <c r="C158" s="694">
        <f t="shared" ref="C158:F158" si="427">C144+C150+C156</f>
        <v>0</v>
      </c>
      <c r="D158" s="694">
        <f t="shared" si="427"/>
        <v>0</v>
      </c>
      <c r="E158" s="694">
        <f t="shared" si="427"/>
        <v>0</v>
      </c>
      <c r="F158" s="694">
        <f t="shared" si="427"/>
        <v>0</v>
      </c>
      <c r="G158" s="904">
        <f>SUM(C158:F158)</f>
        <v>0</v>
      </c>
      <c r="H158" s="694">
        <f t="shared" ref="H158:M158" si="428">H144+H150+H156</f>
        <v>0</v>
      </c>
      <c r="I158" s="694">
        <f t="shared" si="428"/>
        <v>0</v>
      </c>
      <c r="J158" s="694">
        <f t="shared" si="428"/>
        <v>0</v>
      </c>
      <c r="K158" s="694">
        <f t="shared" si="428"/>
        <v>0</v>
      </c>
      <c r="L158" s="694">
        <f t="shared" si="428"/>
        <v>0</v>
      </c>
      <c r="M158" s="694">
        <f t="shared" si="428"/>
        <v>0</v>
      </c>
      <c r="N158" s="694">
        <f t="shared" ref="N158:S158" si="429">N144+N150+N156</f>
        <v>0</v>
      </c>
      <c r="O158" s="694">
        <f t="shared" si="429"/>
        <v>0</v>
      </c>
      <c r="P158" s="694">
        <f t="shared" si="429"/>
        <v>0</v>
      </c>
      <c r="Q158" s="694">
        <f t="shared" si="429"/>
        <v>0</v>
      </c>
      <c r="R158" s="694">
        <f t="shared" si="429"/>
        <v>0</v>
      </c>
      <c r="S158" s="694">
        <f t="shared" si="429"/>
        <v>0</v>
      </c>
      <c r="T158" s="915">
        <f>SUM(H158:S158)</f>
        <v>0</v>
      </c>
      <c r="U158" s="694">
        <f t="shared" ref="U158:AF158" si="430">U144+U150+U156</f>
        <v>0</v>
      </c>
      <c r="V158" s="694">
        <f t="shared" si="430"/>
        <v>0</v>
      </c>
      <c r="W158" s="694">
        <f t="shared" si="430"/>
        <v>0</v>
      </c>
      <c r="X158" s="694">
        <f t="shared" si="430"/>
        <v>0</v>
      </c>
      <c r="Y158" s="694">
        <f t="shared" si="430"/>
        <v>0</v>
      </c>
      <c r="Z158" s="694">
        <f t="shared" si="430"/>
        <v>0</v>
      </c>
      <c r="AA158" s="694">
        <f t="shared" si="430"/>
        <v>0</v>
      </c>
      <c r="AB158" s="694">
        <f t="shared" si="430"/>
        <v>0</v>
      </c>
      <c r="AC158" s="694">
        <f t="shared" si="430"/>
        <v>0</v>
      </c>
      <c r="AD158" s="694">
        <f t="shared" si="430"/>
        <v>0</v>
      </c>
      <c r="AE158" s="694">
        <f t="shared" si="430"/>
        <v>0</v>
      </c>
      <c r="AF158" s="694">
        <f t="shared" si="430"/>
        <v>0</v>
      </c>
      <c r="AG158" s="904">
        <f>SUM(U158:AF158)</f>
        <v>0</v>
      </c>
      <c r="AH158" s="904">
        <f t="shared" ref="AH158:AO158" si="431">AH144+AH150+AH156</f>
        <v>868.21875000000023</v>
      </c>
      <c r="AI158" s="904">
        <f t="shared" si="431"/>
        <v>3160.3162500000003</v>
      </c>
      <c r="AJ158" s="904">
        <f t="shared" si="431"/>
        <v>6975.2694375000019</v>
      </c>
      <c r="AK158" s="904">
        <f t="shared" si="431"/>
        <v>14229.549652500005</v>
      </c>
      <c r="AL158" s="904">
        <f t="shared" si="431"/>
        <v>21078.706218570002</v>
      </c>
      <c r="AM158" s="904">
        <f t="shared" si="431"/>
        <v>24911.198258310003</v>
      </c>
      <c r="AN158" s="904">
        <f t="shared" si="431"/>
        <v>28743.690298049998</v>
      </c>
      <c r="AO158" s="1001">
        <f t="shared" si="431"/>
        <v>32576.182337790004</v>
      </c>
    </row>
    <row r="159" spans="1:42" s="18" customFormat="1" ht="13.15" customHeight="1" x14ac:dyDescent="0.2">
      <c r="A159" s="680"/>
      <c r="B159" s="680"/>
      <c r="C159" s="682"/>
      <c r="D159" s="682"/>
      <c r="E159" s="682"/>
      <c r="F159" s="682"/>
      <c r="G159" s="900"/>
      <c r="H159" s="682"/>
      <c r="I159" s="682"/>
      <c r="J159" s="682"/>
      <c r="K159" s="682"/>
      <c r="L159" s="682"/>
      <c r="M159" s="682"/>
      <c r="N159" s="682"/>
      <c r="O159" s="682"/>
      <c r="P159" s="682"/>
      <c r="Q159" s="682"/>
      <c r="R159" s="682"/>
      <c r="S159" s="682"/>
      <c r="T159" s="917"/>
      <c r="U159" s="682"/>
      <c r="V159" s="682"/>
      <c r="W159" s="682"/>
      <c r="X159" s="682"/>
      <c r="Y159" s="682"/>
      <c r="Z159" s="682"/>
      <c r="AA159" s="682"/>
      <c r="AB159" s="682"/>
      <c r="AC159" s="682"/>
      <c r="AD159" s="682"/>
      <c r="AE159" s="682"/>
      <c r="AF159" s="682"/>
      <c r="AG159" s="917"/>
      <c r="AH159" s="917"/>
      <c r="AI159" s="917"/>
      <c r="AJ159" s="917"/>
      <c r="AK159" s="924"/>
      <c r="AL159" s="924"/>
      <c r="AM159" s="924"/>
      <c r="AN159" s="924"/>
      <c r="AO159" s="995"/>
    </row>
    <row r="160" spans="1:42" s="18" customFormat="1" ht="13.15" customHeight="1" x14ac:dyDescent="0.2">
      <c r="A160" s="680" t="s">
        <v>258</v>
      </c>
      <c r="B160" s="680"/>
      <c r="C160" s="767">
        <f t="shared" ref="C160:F160" si="432">C79</f>
        <v>300</v>
      </c>
      <c r="D160" s="767">
        <f t="shared" si="432"/>
        <v>300</v>
      </c>
      <c r="E160" s="767">
        <f t="shared" si="432"/>
        <v>300</v>
      </c>
      <c r="F160" s="767">
        <f t="shared" si="432"/>
        <v>300</v>
      </c>
      <c r="G160" s="905">
        <f>F160</f>
        <v>300</v>
      </c>
      <c r="H160" s="767">
        <f t="shared" ref="H160:M160" si="433">H79</f>
        <v>300</v>
      </c>
      <c r="I160" s="767">
        <f t="shared" si="433"/>
        <v>300</v>
      </c>
      <c r="J160" s="767">
        <f t="shared" si="433"/>
        <v>300</v>
      </c>
      <c r="K160" s="767">
        <f t="shared" si="433"/>
        <v>300</v>
      </c>
      <c r="L160" s="767">
        <f t="shared" si="433"/>
        <v>300</v>
      </c>
      <c r="M160" s="767">
        <f t="shared" si="433"/>
        <v>300</v>
      </c>
      <c r="N160" s="767">
        <f t="shared" ref="N160:AO160" si="434">N$25</f>
        <v>300</v>
      </c>
      <c r="O160" s="767">
        <f t="shared" si="434"/>
        <v>300</v>
      </c>
      <c r="P160" s="767">
        <f t="shared" si="434"/>
        <v>300</v>
      </c>
      <c r="Q160" s="767">
        <f t="shared" si="434"/>
        <v>300</v>
      </c>
      <c r="R160" s="767">
        <f t="shared" si="434"/>
        <v>300</v>
      </c>
      <c r="S160" s="767">
        <f t="shared" si="434"/>
        <v>300</v>
      </c>
      <c r="T160" s="905">
        <f t="shared" si="434"/>
        <v>300</v>
      </c>
      <c r="U160" s="767">
        <f t="shared" si="434"/>
        <v>300</v>
      </c>
      <c r="V160" s="767">
        <f t="shared" si="434"/>
        <v>300</v>
      </c>
      <c r="W160" s="767">
        <f t="shared" si="434"/>
        <v>300</v>
      </c>
      <c r="X160" s="767">
        <f t="shared" si="434"/>
        <v>300</v>
      </c>
      <c r="Y160" s="767">
        <f t="shared" si="434"/>
        <v>300</v>
      </c>
      <c r="Z160" s="767">
        <f t="shared" si="434"/>
        <v>300</v>
      </c>
      <c r="AA160" s="767">
        <f t="shared" si="434"/>
        <v>300</v>
      </c>
      <c r="AB160" s="767">
        <f t="shared" si="434"/>
        <v>300</v>
      </c>
      <c r="AC160" s="767">
        <f t="shared" si="434"/>
        <v>300</v>
      </c>
      <c r="AD160" s="767">
        <f t="shared" si="434"/>
        <v>300</v>
      </c>
      <c r="AE160" s="767">
        <f t="shared" si="434"/>
        <v>300</v>
      </c>
      <c r="AF160" s="767">
        <f t="shared" si="434"/>
        <v>300</v>
      </c>
      <c r="AG160" s="905">
        <f t="shared" si="434"/>
        <v>300</v>
      </c>
      <c r="AH160" s="905">
        <f t="shared" si="434"/>
        <v>300</v>
      </c>
      <c r="AI160" s="905">
        <f t="shared" si="434"/>
        <v>300</v>
      </c>
      <c r="AJ160" s="905">
        <f t="shared" si="434"/>
        <v>300</v>
      </c>
      <c r="AK160" s="905">
        <f t="shared" si="434"/>
        <v>300</v>
      </c>
      <c r="AL160" s="905">
        <f t="shared" si="434"/>
        <v>300</v>
      </c>
      <c r="AM160" s="905">
        <f t="shared" si="434"/>
        <v>300</v>
      </c>
      <c r="AN160" s="905">
        <f t="shared" si="434"/>
        <v>300</v>
      </c>
      <c r="AO160" s="1002">
        <f t="shared" si="434"/>
        <v>300</v>
      </c>
      <c r="AP160" s="988"/>
    </row>
    <row r="161" spans="1:42" s="18" customFormat="1" ht="13.15" customHeight="1" x14ac:dyDescent="0.2">
      <c r="A161" s="680"/>
      <c r="B161" s="680"/>
      <c r="C161" s="682"/>
      <c r="D161" s="682"/>
      <c r="E161" s="682"/>
      <c r="F161" s="682"/>
      <c r="G161" s="900"/>
      <c r="H161" s="682"/>
      <c r="I161" s="682"/>
      <c r="J161" s="682"/>
      <c r="K161" s="682"/>
      <c r="L161" s="682"/>
      <c r="M161" s="682"/>
      <c r="N161" s="682"/>
      <c r="O161" s="682"/>
      <c r="P161" s="682"/>
      <c r="Q161" s="682"/>
      <c r="R161" s="682"/>
      <c r="S161" s="682"/>
      <c r="T161" s="917"/>
      <c r="U161" s="682"/>
      <c r="V161" s="682"/>
      <c r="W161" s="682"/>
      <c r="X161" s="682"/>
      <c r="Y161" s="682"/>
      <c r="Z161" s="682"/>
      <c r="AA161" s="682"/>
      <c r="AB161" s="682"/>
      <c r="AC161" s="682"/>
      <c r="AD161" s="682"/>
      <c r="AE161" s="682"/>
      <c r="AF161" s="682"/>
      <c r="AG161" s="917"/>
      <c r="AH161" s="917"/>
      <c r="AI161" s="917"/>
      <c r="AJ161" s="917"/>
      <c r="AK161" s="924"/>
      <c r="AL161" s="924"/>
      <c r="AM161" s="924"/>
      <c r="AN161" s="924"/>
      <c r="AO161" s="995"/>
    </row>
    <row r="162" spans="1:42" s="794" customFormat="1" ht="13.15" customHeight="1" x14ac:dyDescent="0.2">
      <c r="A162" s="763" t="s">
        <v>419</v>
      </c>
      <c r="B162" s="763"/>
      <c r="C162" s="765">
        <f t="shared" ref="C162:F162" si="435">C158*C160</f>
        <v>0</v>
      </c>
      <c r="D162" s="765">
        <f t="shared" si="435"/>
        <v>0</v>
      </c>
      <c r="E162" s="765">
        <f t="shared" si="435"/>
        <v>0</v>
      </c>
      <c r="F162" s="765">
        <f t="shared" si="435"/>
        <v>0</v>
      </c>
      <c r="G162" s="906">
        <f>SUM(C162:F162)</f>
        <v>0</v>
      </c>
      <c r="H162" s="765">
        <f t="shared" ref="H162:M162" si="436">H158*H160</f>
        <v>0</v>
      </c>
      <c r="I162" s="765">
        <f t="shared" si="436"/>
        <v>0</v>
      </c>
      <c r="J162" s="765">
        <f t="shared" si="436"/>
        <v>0</v>
      </c>
      <c r="K162" s="765">
        <f t="shared" si="436"/>
        <v>0</v>
      </c>
      <c r="L162" s="765">
        <f t="shared" si="436"/>
        <v>0</v>
      </c>
      <c r="M162" s="765">
        <f t="shared" si="436"/>
        <v>0</v>
      </c>
      <c r="N162" s="765">
        <f t="shared" ref="N162:S162" si="437">N158*N160</f>
        <v>0</v>
      </c>
      <c r="O162" s="765">
        <f t="shared" si="437"/>
        <v>0</v>
      </c>
      <c r="P162" s="765">
        <f t="shared" si="437"/>
        <v>0</v>
      </c>
      <c r="Q162" s="765">
        <f t="shared" si="437"/>
        <v>0</v>
      </c>
      <c r="R162" s="765">
        <f t="shared" si="437"/>
        <v>0</v>
      </c>
      <c r="S162" s="765">
        <f t="shared" si="437"/>
        <v>0</v>
      </c>
      <c r="T162" s="906">
        <f>SUM(H162:S162)</f>
        <v>0</v>
      </c>
      <c r="U162" s="765">
        <f>U158*U160</f>
        <v>0</v>
      </c>
      <c r="V162" s="765">
        <f t="shared" ref="V162:AF162" si="438">V158*V160</f>
        <v>0</v>
      </c>
      <c r="W162" s="765">
        <f t="shared" si="438"/>
        <v>0</v>
      </c>
      <c r="X162" s="765">
        <f t="shared" si="438"/>
        <v>0</v>
      </c>
      <c r="Y162" s="765">
        <f t="shared" si="438"/>
        <v>0</v>
      </c>
      <c r="Z162" s="765">
        <f t="shared" si="438"/>
        <v>0</v>
      </c>
      <c r="AA162" s="765">
        <f t="shared" si="438"/>
        <v>0</v>
      </c>
      <c r="AB162" s="765">
        <f t="shared" si="438"/>
        <v>0</v>
      </c>
      <c r="AC162" s="765">
        <f t="shared" si="438"/>
        <v>0</v>
      </c>
      <c r="AD162" s="765">
        <f t="shared" si="438"/>
        <v>0</v>
      </c>
      <c r="AE162" s="765">
        <f t="shared" si="438"/>
        <v>0</v>
      </c>
      <c r="AF162" s="765">
        <f t="shared" si="438"/>
        <v>0</v>
      </c>
      <c r="AG162" s="906">
        <f>SUM(U162:AF162)</f>
        <v>0</v>
      </c>
      <c r="AH162" s="906">
        <f t="shared" ref="AH162:AO162" si="439">AH158*AH160</f>
        <v>260465.62500000006</v>
      </c>
      <c r="AI162" s="906">
        <f t="shared" si="439"/>
        <v>948094.87500000012</v>
      </c>
      <c r="AJ162" s="906">
        <f t="shared" si="439"/>
        <v>2092580.8312500005</v>
      </c>
      <c r="AK162" s="906">
        <f t="shared" si="439"/>
        <v>4268864.895750002</v>
      </c>
      <c r="AL162" s="906">
        <f t="shared" si="439"/>
        <v>6323611.8655710006</v>
      </c>
      <c r="AM162" s="906">
        <f t="shared" si="439"/>
        <v>7473359.4774930011</v>
      </c>
      <c r="AN162" s="906">
        <f t="shared" si="439"/>
        <v>8623107.0894149989</v>
      </c>
      <c r="AO162" s="1003">
        <f t="shared" si="439"/>
        <v>9772854.7013370004</v>
      </c>
      <c r="AP162" s="277"/>
    </row>
    <row r="163" spans="1:42" s="18" customFormat="1" ht="13.15" customHeight="1" x14ac:dyDescent="0.2">
      <c r="A163" s="680"/>
      <c r="B163" s="680"/>
      <c r="C163" s="680"/>
      <c r="D163" s="680"/>
      <c r="E163" s="680"/>
      <c r="F163" s="680"/>
      <c r="G163" s="900"/>
      <c r="H163" s="682"/>
      <c r="I163" s="682"/>
      <c r="J163" s="682"/>
      <c r="K163" s="682"/>
      <c r="L163" s="682"/>
      <c r="M163" s="682"/>
      <c r="N163" s="682"/>
      <c r="O163" s="682"/>
      <c r="P163" s="682"/>
      <c r="Q163" s="682"/>
      <c r="R163" s="682"/>
      <c r="S163" s="682"/>
      <c r="T163" s="917"/>
      <c r="U163" s="682"/>
      <c r="V163" s="682"/>
      <c r="W163" s="682"/>
      <c r="X163" s="682"/>
      <c r="Y163" s="682"/>
      <c r="Z163" s="682"/>
      <c r="AA163" s="682"/>
      <c r="AB163" s="682"/>
      <c r="AC163" s="682"/>
      <c r="AD163" s="682"/>
      <c r="AE163" s="682"/>
      <c r="AF163" s="682"/>
      <c r="AG163" s="917"/>
      <c r="AH163" s="917"/>
      <c r="AI163" s="917"/>
      <c r="AJ163" s="917"/>
      <c r="AK163" s="924"/>
      <c r="AL163" s="924"/>
      <c r="AM163" s="924"/>
      <c r="AN163" s="924"/>
      <c r="AO163" s="995"/>
    </row>
    <row r="164" spans="1:42" s="18" customFormat="1" ht="13.15" customHeight="1" x14ac:dyDescent="0.2">
      <c r="A164" s="680"/>
      <c r="B164" s="680"/>
      <c r="C164" s="680"/>
      <c r="D164" s="680"/>
      <c r="E164" s="680"/>
      <c r="F164" s="680"/>
      <c r="G164" s="900"/>
      <c r="H164" s="682"/>
      <c r="I164" s="682"/>
      <c r="J164" s="682"/>
      <c r="K164" s="682"/>
      <c r="L164" s="682"/>
      <c r="M164" s="682"/>
      <c r="N164" s="682"/>
      <c r="O164" s="682"/>
      <c r="P164" s="682"/>
      <c r="Q164" s="682"/>
      <c r="R164" s="682"/>
      <c r="S164" s="682"/>
      <c r="T164" s="917"/>
      <c r="U164" s="682"/>
      <c r="V164" s="682"/>
      <c r="W164" s="682"/>
      <c r="X164" s="682"/>
      <c r="Y164" s="682"/>
      <c r="Z164" s="682"/>
      <c r="AA164" s="682"/>
      <c r="AB164" s="682"/>
      <c r="AC164" s="682"/>
      <c r="AD164" s="682"/>
      <c r="AE164" s="682"/>
      <c r="AF164" s="682"/>
      <c r="AG164" s="917"/>
      <c r="AH164" s="917"/>
      <c r="AI164" s="917"/>
      <c r="AJ164" s="917"/>
      <c r="AK164" s="924"/>
      <c r="AL164" s="924"/>
      <c r="AM164" s="924"/>
      <c r="AN164" s="924"/>
      <c r="AO164" s="995"/>
    </row>
    <row r="165" spans="1:42" s="18" customFormat="1" ht="13.15" customHeight="1" x14ac:dyDescent="0.2">
      <c r="A165" s="676" t="s">
        <v>446</v>
      </c>
      <c r="B165" s="676"/>
      <c r="C165" s="676"/>
      <c r="D165" s="676"/>
      <c r="E165" s="676"/>
      <c r="F165" s="676"/>
      <c r="G165" s="898"/>
      <c r="H165" s="678"/>
      <c r="I165" s="678"/>
      <c r="J165" s="678"/>
      <c r="K165" s="678"/>
      <c r="L165" s="678"/>
      <c r="M165" s="678"/>
      <c r="N165" s="678"/>
      <c r="O165" s="678"/>
      <c r="P165" s="678"/>
      <c r="Q165" s="678"/>
      <c r="R165" s="678"/>
      <c r="S165" s="678"/>
      <c r="T165" s="915"/>
      <c r="U165" s="678"/>
      <c r="V165" s="678"/>
      <c r="W165" s="678"/>
      <c r="X165" s="678"/>
      <c r="Y165" s="678"/>
      <c r="Z165" s="678"/>
      <c r="AA165" s="678"/>
      <c r="AB165" s="678"/>
      <c r="AC165" s="678"/>
      <c r="AD165" s="678"/>
      <c r="AE165" s="678"/>
      <c r="AF165" s="678"/>
      <c r="AG165" s="915"/>
      <c r="AH165" s="915"/>
      <c r="AI165" s="915"/>
      <c r="AJ165" s="915"/>
      <c r="AK165" s="924"/>
      <c r="AL165" s="924"/>
      <c r="AM165" s="924"/>
      <c r="AN165" s="924"/>
      <c r="AO165" s="995"/>
    </row>
    <row r="166" spans="1:42" s="18" customFormat="1" ht="13.15" customHeight="1" x14ac:dyDescent="0.2">
      <c r="A166" s="674" t="s">
        <v>250</v>
      </c>
      <c r="B166" s="674"/>
      <c r="C166" s="690">
        <f>$G166/12</f>
        <v>5000</v>
      </c>
      <c r="D166" s="690">
        <f t="shared" ref="D166:F166" si="440">$G166/12</f>
        <v>5000</v>
      </c>
      <c r="E166" s="690">
        <f t="shared" si="440"/>
        <v>5000</v>
      </c>
      <c r="F166" s="690">
        <f t="shared" si="440"/>
        <v>5000</v>
      </c>
      <c r="G166" s="899">
        <v>60000</v>
      </c>
      <c r="H166" s="690">
        <f t="shared" ref="H166:M166" si="441">$T166/12</f>
        <v>5000</v>
      </c>
      <c r="I166" s="690">
        <f t="shared" si="441"/>
        <v>5000</v>
      </c>
      <c r="J166" s="690">
        <f t="shared" si="441"/>
        <v>5000</v>
      </c>
      <c r="K166" s="690">
        <f t="shared" si="441"/>
        <v>5000</v>
      </c>
      <c r="L166" s="690">
        <f t="shared" si="441"/>
        <v>5000</v>
      </c>
      <c r="M166" s="690">
        <f t="shared" si="441"/>
        <v>5000</v>
      </c>
      <c r="N166" s="690">
        <f t="shared" ref="N166:S166" si="442">$T166/12</f>
        <v>5000</v>
      </c>
      <c r="O166" s="690">
        <f t="shared" si="442"/>
        <v>5000</v>
      </c>
      <c r="P166" s="690">
        <f t="shared" si="442"/>
        <v>5000</v>
      </c>
      <c r="Q166" s="690">
        <f t="shared" si="442"/>
        <v>5000</v>
      </c>
      <c r="R166" s="690">
        <f t="shared" si="442"/>
        <v>5000</v>
      </c>
      <c r="S166" s="690">
        <f t="shared" si="442"/>
        <v>5000</v>
      </c>
      <c r="T166" s="899">
        <v>60000</v>
      </c>
      <c r="U166" s="690">
        <f>$AG166/12</f>
        <v>5250</v>
      </c>
      <c r="V166" s="690">
        <f t="shared" ref="V166:AF166" si="443">$AG166/12</f>
        <v>5250</v>
      </c>
      <c r="W166" s="690">
        <f t="shared" si="443"/>
        <v>5250</v>
      </c>
      <c r="X166" s="690">
        <f t="shared" si="443"/>
        <v>5250</v>
      </c>
      <c r="Y166" s="690">
        <f t="shared" si="443"/>
        <v>5250</v>
      </c>
      <c r="Z166" s="690">
        <f t="shared" si="443"/>
        <v>5250</v>
      </c>
      <c r="AA166" s="690">
        <f t="shared" si="443"/>
        <v>5250</v>
      </c>
      <c r="AB166" s="690">
        <f t="shared" si="443"/>
        <v>5250</v>
      </c>
      <c r="AC166" s="690">
        <f t="shared" si="443"/>
        <v>5250</v>
      </c>
      <c r="AD166" s="690">
        <f t="shared" si="443"/>
        <v>5250</v>
      </c>
      <c r="AE166" s="690">
        <f t="shared" si="443"/>
        <v>5250</v>
      </c>
      <c r="AF166" s="690">
        <f t="shared" si="443"/>
        <v>5250</v>
      </c>
      <c r="AG166" s="902">
        <f>T166*(1+AG167)</f>
        <v>63000</v>
      </c>
      <c r="AH166" s="902">
        <f t="shared" ref="AH166:AO166" si="444">AG166*(1+AH167)</f>
        <v>66150</v>
      </c>
      <c r="AI166" s="902">
        <f t="shared" si="444"/>
        <v>68796</v>
      </c>
      <c r="AJ166" s="902">
        <f t="shared" si="444"/>
        <v>70859.88</v>
      </c>
      <c r="AK166" s="902">
        <f t="shared" si="444"/>
        <v>72277.077600000004</v>
      </c>
      <c r="AL166" s="902">
        <f t="shared" si="444"/>
        <v>72999.848376000009</v>
      </c>
      <c r="AM166" s="902">
        <f t="shared" si="444"/>
        <v>72999.848376000009</v>
      </c>
      <c r="AN166" s="902">
        <f t="shared" si="444"/>
        <v>72999.848376000009</v>
      </c>
      <c r="AO166" s="996">
        <f t="shared" si="444"/>
        <v>72999.848376000009</v>
      </c>
    </row>
    <row r="167" spans="1:42" s="987" customFormat="1" ht="13.15" customHeight="1" x14ac:dyDescent="0.2">
      <c r="A167" s="680" t="s">
        <v>324</v>
      </c>
      <c r="B167" s="680"/>
      <c r="C167" s="687"/>
      <c r="D167" s="687"/>
      <c r="E167" s="687"/>
      <c r="F167" s="687"/>
      <c r="G167" s="900"/>
      <c r="H167" s="687"/>
      <c r="I167" s="687"/>
      <c r="J167" s="687"/>
      <c r="K167" s="687"/>
      <c r="L167" s="687"/>
      <c r="M167" s="687"/>
      <c r="N167" s="687"/>
      <c r="O167" s="687"/>
      <c r="P167" s="687"/>
      <c r="Q167" s="687"/>
      <c r="R167" s="687"/>
      <c r="S167" s="687"/>
      <c r="T167" s="916"/>
      <c r="U167" s="687"/>
      <c r="V167" s="687"/>
      <c r="W167" s="687"/>
      <c r="X167" s="687"/>
      <c r="Y167" s="687"/>
      <c r="Z167" s="687"/>
      <c r="AA167" s="687"/>
      <c r="AB167" s="687"/>
      <c r="AC167" s="687"/>
      <c r="AD167" s="687"/>
      <c r="AE167" s="687"/>
      <c r="AF167" s="687"/>
      <c r="AG167" s="921">
        <v>0.05</v>
      </c>
      <c r="AH167" s="921">
        <v>0.05</v>
      </c>
      <c r="AI167" s="921">
        <f>AH167-1%</f>
        <v>0.04</v>
      </c>
      <c r="AJ167" s="921">
        <f>AI167-1%</f>
        <v>0.03</v>
      </c>
      <c r="AK167" s="921">
        <f>AJ167-1%</f>
        <v>1.9999999999999997E-2</v>
      </c>
      <c r="AL167" s="921">
        <f>AK167-1%</f>
        <v>9.9999999999999967E-3</v>
      </c>
      <c r="AM167" s="921">
        <f>AL167-1%</f>
        <v>0</v>
      </c>
      <c r="AN167" s="925">
        <f>AM167</f>
        <v>0</v>
      </c>
      <c r="AO167" s="997">
        <f>AN167</f>
        <v>0</v>
      </c>
    </row>
    <row r="168" spans="1:42" s="987" customFormat="1" ht="13.15" customHeight="1" x14ac:dyDescent="0.2">
      <c r="A168" s="680" t="s">
        <v>248</v>
      </c>
      <c r="B168" s="680"/>
      <c r="C168" s="687">
        <f t="shared" ref="C168:F168" si="445">C141</f>
        <v>0</v>
      </c>
      <c r="D168" s="687">
        <f t="shared" si="445"/>
        <v>0</v>
      </c>
      <c r="E168" s="687">
        <f t="shared" si="445"/>
        <v>0</v>
      </c>
      <c r="F168" s="687">
        <f t="shared" si="445"/>
        <v>0</v>
      </c>
      <c r="G168" s="900">
        <f>F168</f>
        <v>0</v>
      </c>
      <c r="H168" s="687">
        <f t="shared" ref="H168:M168" si="446">H141</f>
        <v>0</v>
      </c>
      <c r="I168" s="687">
        <f t="shared" si="446"/>
        <v>0</v>
      </c>
      <c r="J168" s="687">
        <f t="shared" si="446"/>
        <v>0</v>
      </c>
      <c r="K168" s="687">
        <f t="shared" si="446"/>
        <v>0</v>
      </c>
      <c r="L168" s="687">
        <f t="shared" si="446"/>
        <v>0</v>
      </c>
      <c r="M168" s="687">
        <f t="shared" si="446"/>
        <v>0</v>
      </c>
      <c r="N168" s="687">
        <f t="shared" ref="N168:S168" si="447">N141</f>
        <v>0</v>
      </c>
      <c r="O168" s="687">
        <f t="shared" si="447"/>
        <v>0</v>
      </c>
      <c r="P168" s="687">
        <f t="shared" si="447"/>
        <v>0</v>
      </c>
      <c r="Q168" s="687">
        <f t="shared" si="447"/>
        <v>0</v>
      </c>
      <c r="R168" s="687">
        <f t="shared" si="447"/>
        <v>0</v>
      </c>
      <c r="S168" s="687">
        <f t="shared" si="447"/>
        <v>0</v>
      </c>
      <c r="T168" s="916">
        <f>S168</f>
        <v>0</v>
      </c>
      <c r="U168" s="687">
        <v>0</v>
      </c>
      <c r="V168" s="687">
        <f t="shared" ref="V168:AG168" si="448">U168</f>
        <v>0</v>
      </c>
      <c r="W168" s="687">
        <f t="shared" si="448"/>
        <v>0</v>
      </c>
      <c r="X168" s="687">
        <f t="shared" si="448"/>
        <v>0</v>
      </c>
      <c r="Y168" s="687">
        <f t="shared" si="448"/>
        <v>0</v>
      </c>
      <c r="Z168" s="687">
        <f t="shared" si="448"/>
        <v>0</v>
      </c>
      <c r="AA168" s="687">
        <f t="shared" si="448"/>
        <v>0</v>
      </c>
      <c r="AB168" s="687">
        <f t="shared" si="448"/>
        <v>0</v>
      </c>
      <c r="AC168" s="687">
        <f t="shared" si="448"/>
        <v>0</v>
      </c>
      <c r="AD168" s="687">
        <f t="shared" si="448"/>
        <v>0</v>
      </c>
      <c r="AE168" s="687">
        <f t="shared" si="448"/>
        <v>0</v>
      </c>
      <c r="AF168" s="687">
        <f t="shared" si="448"/>
        <v>0</v>
      </c>
      <c r="AG168" s="916">
        <f t="shared" si="448"/>
        <v>0</v>
      </c>
      <c r="AH168" s="921">
        <v>6.0000000000000001E-3</v>
      </c>
      <c r="AI168" s="921">
        <v>1.7999999999999999E-2</v>
      </c>
      <c r="AJ168" s="921">
        <v>3.5999999999999997E-2</v>
      </c>
      <c r="AK168" s="921">
        <v>7.1999999999999995E-2</v>
      </c>
      <c r="AL168" s="921">
        <v>0.11</v>
      </c>
      <c r="AM168" s="921">
        <v>0.13</v>
      </c>
      <c r="AN168" s="921">
        <v>0.15</v>
      </c>
      <c r="AO168" s="1004">
        <v>0.17</v>
      </c>
    </row>
    <row r="169" spans="1:42" s="18" customFormat="1" ht="13.15" customHeight="1" x14ac:dyDescent="0.2">
      <c r="A169" s="680" t="s">
        <v>251</v>
      </c>
      <c r="B169" s="680"/>
      <c r="C169" s="690">
        <f t="shared" ref="C169:F169" si="449">C166*C168</f>
        <v>0</v>
      </c>
      <c r="D169" s="690">
        <f t="shared" si="449"/>
        <v>0</v>
      </c>
      <c r="E169" s="690">
        <f t="shared" si="449"/>
        <v>0</v>
      </c>
      <c r="F169" s="690">
        <f t="shared" si="449"/>
        <v>0</v>
      </c>
      <c r="G169" s="902">
        <f>SUM(C169:F169)</f>
        <v>0</v>
      </c>
      <c r="H169" s="690">
        <f t="shared" ref="H169:M169" si="450">H166*H168</f>
        <v>0</v>
      </c>
      <c r="I169" s="690">
        <f t="shared" si="450"/>
        <v>0</v>
      </c>
      <c r="J169" s="690">
        <f t="shared" si="450"/>
        <v>0</v>
      </c>
      <c r="K169" s="690">
        <f t="shared" si="450"/>
        <v>0</v>
      </c>
      <c r="L169" s="690">
        <f t="shared" si="450"/>
        <v>0</v>
      </c>
      <c r="M169" s="690">
        <f t="shared" si="450"/>
        <v>0</v>
      </c>
      <c r="N169" s="690">
        <f t="shared" ref="N169:S169" si="451">N166*N168</f>
        <v>0</v>
      </c>
      <c r="O169" s="690">
        <f t="shared" si="451"/>
        <v>0</v>
      </c>
      <c r="P169" s="690">
        <f t="shared" si="451"/>
        <v>0</v>
      </c>
      <c r="Q169" s="690">
        <f t="shared" si="451"/>
        <v>0</v>
      </c>
      <c r="R169" s="690">
        <f t="shared" si="451"/>
        <v>0</v>
      </c>
      <c r="S169" s="690">
        <f t="shared" si="451"/>
        <v>0</v>
      </c>
      <c r="T169" s="917">
        <f>SUM(H169:S169)</f>
        <v>0</v>
      </c>
      <c r="U169" s="690">
        <f t="shared" ref="U169:AF169" si="452">U166*U168</f>
        <v>0</v>
      </c>
      <c r="V169" s="690">
        <f t="shared" si="452"/>
        <v>0</v>
      </c>
      <c r="W169" s="690">
        <f t="shared" si="452"/>
        <v>0</v>
      </c>
      <c r="X169" s="690">
        <f t="shared" si="452"/>
        <v>0</v>
      </c>
      <c r="Y169" s="690">
        <f t="shared" si="452"/>
        <v>0</v>
      </c>
      <c r="Z169" s="690">
        <f t="shared" si="452"/>
        <v>0</v>
      </c>
      <c r="AA169" s="690">
        <f t="shared" si="452"/>
        <v>0</v>
      </c>
      <c r="AB169" s="690">
        <f t="shared" si="452"/>
        <v>0</v>
      </c>
      <c r="AC169" s="690">
        <f t="shared" si="452"/>
        <v>0</v>
      </c>
      <c r="AD169" s="690">
        <f t="shared" si="452"/>
        <v>0</v>
      </c>
      <c r="AE169" s="690">
        <f t="shared" si="452"/>
        <v>0</v>
      </c>
      <c r="AF169" s="690">
        <f t="shared" si="452"/>
        <v>0</v>
      </c>
      <c r="AG169" s="902">
        <f>SUM(U169:AF169)</f>
        <v>0</v>
      </c>
      <c r="AH169" s="902">
        <f>AH166*AVERAGE(AF168,AH168)</f>
        <v>198.45000000000002</v>
      </c>
      <c r="AI169" s="902">
        <f t="shared" ref="AI169:AO169" si="453">AI166*AVERAGE(AH168,AI168)</f>
        <v>825.55200000000002</v>
      </c>
      <c r="AJ169" s="902">
        <f t="shared" si="453"/>
        <v>1913.2167599999998</v>
      </c>
      <c r="AK169" s="902">
        <f t="shared" si="453"/>
        <v>3902.9621903999996</v>
      </c>
      <c r="AL169" s="902">
        <f t="shared" si="453"/>
        <v>6642.9862022160005</v>
      </c>
      <c r="AM169" s="902">
        <f t="shared" si="453"/>
        <v>8759.98180512</v>
      </c>
      <c r="AN169" s="902">
        <f t="shared" si="453"/>
        <v>10219.978772640003</v>
      </c>
      <c r="AO169" s="996">
        <f t="shared" si="453"/>
        <v>11679.975740160002</v>
      </c>
    </row>
    <row r="170" spans="1:42" s="18" customFormat="1" ht="13.15" customHeight="1" x14ac:dyDescent="0.2">
      <c r="A170" s="680" t="s">
        <v>249</v>
      </c>
      <c r="B170" s="680"/>
      <c r="C170" s="686">
        <v>2.5</v>
      </c>
      <c r="D170" s="686">
        <f>C170</f>
        <v>2.5</v>
      </c>
      <c r="E170" s="686">
        <f t="shared" ref="E170:F170" si="454">D170</f>
        <v>2.5</v>
      </c>
      <c r="F170" s="686">
        <f t="shared" si="454"/>
        <v>2.5</v>
      </c>
      <c r="G170" s="903">
        <f>F170</f>
        <v>2.5</v>
      </c>
      <c r="H170" s="686">
        <f>F170</f>
        <v>2.5</v>
      </c>
      <c r="I170" s="686">
        <f>H170</f>
        <v>2.5</v>
      </c>
      <c r="J170" s="686">
        <f t="shared" ref="J170:S170" si="455">I170</f>
        <v>2.5</v>
      </c>
      <c r="K170" s="686">
        <f t="shared" si="455"/>
        <v>2.5</v>
      </c>
      <c r="L170" s="686">
        <f t="shared" si="455"/>
        <v>2.5</v>
      </c>
      <c r="M170" s="686">
        <f t="shared" si="455"/>
        <v>2.5</v>
      </c>
      <c r="N170" s="686">
        <f t="shared" si="455"/>
        <v>2.5</v>
      </c>
      <c r="O170" s="686">
        <f t="shared" si="455"/>
        <v>2.5</v>
      </c>
      <c r="P170" s="686">
        <f t="shared" si="455"/>
        <v>2.5</v>
      </c>
      <c r="Q170" s="686">
        <f t="shared" si="455"/>
        <v>2.5</v>
      </c>
      <c r="R170" s="686">
        <f t="shared" si="455"/>
        <v>2.5</v>
      </c>
      <c r="S170" s="686">
        <f t="shared" si="455"/>
        <v>2.5</v>
      </c>
      <c r="T170" s="903">
        <f t="shared" ref="T170" si="456">S170</f>
        <v>2.5</v>
      </c>
      <c r="U170" s="686">
        <f>S170</f>
        <v>2.5</v>
      </c>
      <c r="V170" s="686">
        <f t="shared" ref="V170:AG170" si="457">U170</f>
        <v>2.5</v>
      </c>
      <c r="W170" s="686">
        <f t="shared" si="457"/>
        <v>2.5</v>
      </c>
      <c r="X170" s="686">
        <f t="shared" si="457"/>
        <v>2.5</v>
      </c>
      <c r="Y170" s="686">
        <f t="shared" si="457"/>
        <v>2.5</v>
      </c>
      <c r="Z170" s="686">
        <f t="shared" si="457"/>
        <v>2.5</v>
      </c>
      <c r="AA170" s="686">
        <f t="shared" si="457"/>
        <v>2.5</v>
      </c>
      <c r="AB170" s="686">
        <f t="shared" si="457"/>
        <v>2.5</v>
      </c>
      <c r="AC170" s="686">
        <f t="shared" si="457"/>
        <v>2.5</v>
      </c>
      <c r="AD170" s="686">
        <f t="shared" si="457"/>
        <v>2.5</v>
      </c>
      <c r="AE170" s="686">
        <f t="shared" si="457"/>
        <v>2.5</v>
      </c>
      <c r="AF170" s="686">
        <f t="shared" si="457"/>
        <v>2.5</v>
      </c>
      <c r="AG170" s="919">
        <f t="shared" si="457"/>
        <v>2.5</v>
      </c>
      <c r="AH170" s="919">
        <f>AF170</f>
        <v>2.5</v>
      </c>
      <c r="AI170" s="919">
        <f t="shared" ref="AI170:AO170" si="458">AH170</f>
        <v>2.5</v>
      </c>
      <c r="AJ170" s="919">
        <f t="shared" si="458"/>
        <v>2.5</v>
      </c>
      <c r="AK170" s="919">
        <f t="shared" si="458"/>
        <v>2.5</v>
      </c>
      <c r="AL170" s="919">
        <f t="shared" si="458"/>
        <v>2.5</v>
      </c>
      <c r="AM170" s="919">
        <f t="shared" si="458"/>
        <v>2.5</v>
      </c>
      <c r="AN170" s="919">
        <f t="shared" si="458"/>
        <v>2.5</v>
      </c>
      <c r="AO170" s="998">
        <f t="shared" si="458"/>
        <v>2.5</v>
      </c>
    </row>
    <row r="171" spans="1:42" s="18" customFormat="1" ht="13.15" customHeight="1" x14ac:dyDescent="0.2">
      <c r="A171" s="680" t="s">
        <v>255</v>
      </c>
      <c r="B171" s="680"/>
      <c r="C171" s="690">
        <f t="shared" ref="C171:F171" si="459">C169*C170</f>
        <v>0</v>
      </c>
      <c r="D171" s="690">
        <f t="shared" si="459"/>
        <v>0</v>
      </c>
      <c r="E171" s="690">
        <f t="shared" si="459"/>
        <v>0</v>
      </c>
      <c r="F171" s="690">
        <f t="shared" si="459"/>
        <v>0</v>
      </c>
      <c r="G171" s="902">
        <f>SUM(C171:F171)</f>
        <v>0</v>
      </c>
      <c r="H171" s="690">
        <f t="shared" ref="H171:M171" si="460">H169*H170</f>
        <v>0</v>
      </c>
      <c r="I171" s="690">
        <f t="shared" si="460"/>
        <v>0</v>
      </c>
      <c r="J171" s="690">
        <f t="shared" si="460"/>
        <v>0</v>
      </c>
      <c r="K171" s="690">
        <f t="shared" si="460"/>
        <v>0</v>
      </c>
      <c r="L171" s="690">
        <f t="shared" si="460"/>
        <v>0</v>
      </c>
      <c r="M171" s="690">
        <f t="shared" si="460"/>
        <v>0</v>
      </c>
      <c r="N171" s="690">
        <f t="shared" ref="N171:S171" si="461">N169*N170</f>
        <v>0</v>
      </c>
      <c r="O171" s="690">
        <f t="shared" si="461"/>
        <v>0</v>
      </c>
      <c r="P171" s="690">
        <f t="shared" si="461"/>
        <v>0</v>
      </c>
      <c r="Q171" s="690">
        <f t="shared" si="461"/>
        <v>0</v>
      </c>
      <c r="R171" s="690">
        <f t="shared" si="461"/>
        <v>0</v>
      </c>
      <c r="S171" s="690">
        <f t="shared" si="461"/>
        <v>0</v>
      </c>
      <c r="T171" s="918">
        <f>SUM(H171:S171)</f>
        <v>0</v>
      </c>
      <c r="U171" s="690">
        <f t="shared" ref="U171:AF171" si="462">U169*U170</f>
        <v>0</v>
      </c>
      <c r="V171" s="690">
        <f t="shared" si="462"/>
        <v>0</v>
      </c>
      <c r="W171" s="690">
        <f t="shared" si="462"/>
        <v>0</v>
      </c>
      <c r="X171" s="690">
        <f t="shared" si="462"/>
        <v>0</v>
      </c>
      <c r="Y171" s="690">
        <f t="shared" si="462"/>
        <v>0</v>
      </c>
      <c r="Z171" s="690">
        <f t="shared" si="462"/>
        <v>0</v>
      </c>
      <c r="AA171" s="690">
        <f t="shared" si="462"/>
        <v>0</v>
      </c>
      <c r="AB171" s="690">
        <f t="shared" si="462"/>
        <v>0</v>
      </c>
      <c r="AC171" s="690">
        <f t="shared" si="462"/>
        <v>0</v>
      </c>
      <c r="AD171" s="690">
        <f t="shared" si="462"/>
        <v>0</v>
      </c>
      <c r="AE171" s="690">
        <f t="shared" si="462"/>
        <v>0</v>
      </c>
      <c r="AF171" s="690">
        <f t="shared" si="462"/>
        <v>0</v>
      </c>
      <c r="AG171" s="918">
        <f>SUM(U171:AF171)</f>
        <v>0</v>
      </c>
      <c r="AH171" s="902">
        <f t="shared" ref="AH171:AO171" si="463">AH169*AH170</f>
        <v>496.12500000000006</v>
      </c>
      <c r="AI171" s="902">
        <f t="shared" si="463"/>
        <v>2063.88</v>
      </c>
      <c r="AJ171" s="902">
        <f t="shared" si="463"/>
        <v>4783.0418999999993</v>
      </c>
      <c r="AK171" s="902">
        <f t="shared" si="463"/>
        <v>9757.4054759999999</v>
      </c>
      <c r="AL171" s="902">
        <f t="shared" si="463"/>
        <v>16607.46550554</v>
      </c>
      <c r="AM171" s="902">
        <f t="shared" si="463"/>
        <v>21899.954512799999</v>
      </c>
      <c r="AN171" s="902">
        <f t="shared" si="463"/>
        <v>25549.946931600007</v>
      </c>
      <c r="AO171" s="996">
        <f t="shared" si="463"/>
        <v>29199.939350400004</v>
      </c>
    </row>
    <row r="172" spans="1:42" s="34" customFormat="1" ht="12.4" customHeight="1" x14ac:dyDescent="0.2">
      <c r="A172" s="1"/>
      <c r="B172" s="1"/>
      <c r="C172" s="1"/>
      <c r="D172" s="1"/>
      <c r="E172" s="1"/>
      <c r="F172" s="1"/>
      <c r="G172" s="26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6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268"/>
      <c r="AH172" s="268"/>
      <c r="AI172" s="268"/>
      <c r="AJ172" s="268"/>
      <c r="AK172" s="268"/>
      <c r="AL172" s="268"/>
      <c r="AM172" s="268"/>
      <c r="AN172" s="268"/>
      <c r="AO172" s="999"/>
      <c r="AP172" s="18"/>
    </row>
    <row r="173" spans="1:42" s="18" customFormat="1" ht="13.15" customHeight="1" x14ac:dyDescent="0.2">
      <c r="A173" s="680" t="s">
        <v>253</v>
      </c>
      <c r="B173" s="680"/>
      <c r="C173" s="689">
        <v>0</v>
      </c>
      <c r="D173" s="689">
        <v>0</v>
      </c>
      <c r="E173" s="689">
        <v>0</v>
      </c>
      <c r="F173" s="689">
        <v>0</v>
      </c>
      <c r="G173" s="902">
        <f>F173</f>
        <v>0</v>
      </c>
      <c r="H173" s="689">
        <v>0</v>
      </c>
      <c r="I173" s="689">
        <v>0</v>
      </c>
      <c r="J173" s="689">
        <v>0</v>
      </c>
      <c r="K173" s="689">
        <v>0</v>
      </c>
      <c r="L173" s="689">
        <v>0</v>
      </c>
      <c r="M173" s="689">
        <v>0</v>
      </c>
      <c r="N173" s="689">
        <v>0</v>
      </c>
      <c r="O173" s="689">
        <v>0</v>
      </c>
      <c r="P173" s="689">
        <v>0</v>
      </c>
      <c r="Q173" s="689">
        <v>0</v>
      </c>
      <c r="R173" s="689">
        <v>0</v>
      </c>
      <c r="S173" s="689">
        <v>0</v>
      </c>
      <c r="T173" s="902">
        <f>S173</f>
        <v>0</v>
      </c>
      <c r="U173" s="689">
        <f>S173</f>
        <v>0</v>
      </c>
      <c r="V173" s="689">
        <f t="shared" ref="V173:AG173" si="464">U173</f>
        <v>0</v>
      </c>
      <c r="W173" s="689">
        <f t="shared" si="464"/>
        <v>0</v>
      </c>
      <c r="X173" s="689">
        <f t="shared" si="464"/>
        <v>0</v>
      </c>
      <c r="Y173" s="689">
        <f t="shared" si="464"/>
        <v>0</v>
      </c>
      <c r="Z173" s="689">
        <f t="shared" si="464"/>
        <v>0</v>
      </c>
      <c r="AA173" s="689">
        <f t="shared" si="464"/>
        <v>0</v>
      </c>
      <c r="AB173" s="689">
        <f t="shared" si="464"/>
        <v>0</v>
      </c>
      <c r="AC173" s="689">
        <f t="shared" si="464"/>
        <v>0</v>
      </c>
      <c r="AD173" s="689">
        <f t="shared" si="464"/>
        <v>0</v>
      </c>
      <c r="AE173" s="689">
        <f t="shared" si="464"/>
        <v>0</v>
      </c>
      <c r="AF173" s="689">
        <f t="shared" si="464"/>
        <v>0</v>
      </c>
      <c r="AG173" s="902">
        <f t="shared" si="464"/>
        <v>0</v>
      </c>
      <c r="AH173" s="899">
        <f>AF173</f>
        <v>0</v>
      </c>
      <c r="AI173" s="899">
        <f t="shared" ref="AI173:AO173" si="465">AH173</f>
        <v>0</v>
      </c>
      <c r="AJ173" s="899">
        <f t="shared" si="465"/>
        <v>0</v>
      </c>
      <c r="AK173" s="899">
        <f t="shared" si="465"/>
        <v>0</v>
      </c>
      <c r="AL173" s="899">
        <f t="shared" si="465"/>
        <v>0</v>
      </c>
      <c r="AM173" s="899">
        <f t="shared" si="465"/>
        <v>0</v>
      </c>
      <c r="AN173" s="899">
        <f t="shared" si="465"/>
        <v>0</v>
      </c>
      <c r="AO173" s="1000">
        <f t="shared" si="465"/>
        <v>0</v>
      </c>
    </row>
    <row r="174" spans="1:42" s="18" customFormat="1" ht="13.15" customHeight="1" x14ac:dyDescent="0.2">
      <c r="A174" s="680" t="s">
        <v>252</v>
      </c>
      <c r="B174" s="680"/>
      <c r="C174" s="689">
        <v>0</v>
      </c>
      <c r="D174" s="689">
        <v>0</v>
      </c>
      <c r="E174" s="689">
        <v>0</v>
      </c>
      <c r="F174" s="689">
        <v>0</v>
      </c>
      <c r="G174" s="902">
        <f>SUM(C174:F174)</f>
        <v>0</v>
      </c>
      <c r="H174" s="689">
        <v>0</v>
      </c>
      <c r="I174" s="689">
        <v>0</v>
      </c>
      <c r="J174" s="689">
        <v>0</v>
      </c>
      <c r="K174" s="689">
        <v>0</v>
      </c>
      <c r="L174" s="689">
        <v>0</v>
      </c>
      <c r="M174" s="689">
        <v>0</v>
      </c>
      <c r="N174" s="689">
        <f t="shared" ref="N174:S174" si="466">100/12</f>
        <v>8.3333333333333339</v>
      </c>
      <c r="O174" s="689">
        <f t="shared" si="466"/>
        <v>8.3333333333333339</v>
      </c>
      <c r="P174" s="689">
        <f t="shared" si="466"/>
        <v>8.3333333333333339</v>
      </c>
      <c r="Q174" s="689">
        <f t="shared" si="466"/>
        <v>8.3333333333333339</v>
      </c>
      <c r="R174" s="689">
        <f t="shared" si="466"/>
        <v>8.3333333333333339</v>
      </c>
      <c r="S174" s="689">
        <f t="shared" si="466"/>
        <v>8.3333333333333339</v>
      </c>
      <c r="T174" s="917">
        <f>SUM(H174:S174)</f>
        <v>50.000000000000007</v>
      </c>
      <c r="U174" s="689">
        <f t="shared" ref="U174:AF174" si="467">100/12</f>
        <v>8.3333333333333339</v>
      </c>
      <c r="V174" s="689">
        <f t="shared" si="467"/>
        <v>8.3333333333333339</v>
      </c>
      <c r="W174" s="689">
        <f t="shared" si="467"/>
        <v>8.3333333333333339</v>
      </c>
      <c r="X174" s="689">
        <f t="shared" si="467"/>
        <v>8.3333333333333339</v>
      </c>
      <c r="Y174" s="689">
        <f t="shared" si="467"/>
        <v>8.3333333333333339</v>
      </c>
      <c r="Z174" s="689">
        <f t="shared" si="467"/>
        <v>8.3333333333333339</v>
      </c>
      <c r="AA174" s="689">
        <f t="shared" si="467"/>
        <v>8.3333333333333339</v>
      </c>
      <c r="AB174" s="689">
        <f t="shared" si="467"/>
        <v>8.3333333333333339</v>
      </c>
      <c r="AC174" s="689">
        <f t="shared" si="467"/>
        <v>8.3333333333333339</v>
      </c>
      <c r="AD174" s="689">
        <f t="shared" si="467"/>
        <v>8.3333333333333339</v>
      </c>
      <c r="AE174" s="689">
        <f t="shared" si="467"/>
        <v>8.3333333333333339</v>
      </c>
      <c r="AF174" s="689">
        <f t="shared" si="467"/>
        <v>8.3333333333333339</v>
      </c>
      <c r="AG174" s="917">
        <f>SUM(U174:AF174)</f>
        <v>99.999999999999986</v>
      </c>
      <c r="AH174" s="899">
        <v>100</v>
      </c>
      <c r="AI174" s="899">
        <v>100</v>
      </c>
      <c r="AJ174" s="899">
        <v>100</v>
      </c>
      <c r="AK174" s="899">
        <v>100</v>
      </c>
      <c r="AL174" s="899">
        <v>100</v>
      </c>
      <c r="AM174" s="899">
        <v>100</v>
      </c>
      <c r="AN174" s="899">
        <v>100</v>
      </c>
      <c r="AO174" s="1000">
        <v>100</v>
      </c>
    </row>
    <row r="175" spans="1:42" s="18" customFormat="1" ht="13.15" customHeight="1" x14ac:dyDescent="0.2">
      <c r="A175" s="680" t="s">
        <v>254</v>
      </c>
      <c r="B175" s="680"/>
      <c r="C175" s="690">
        <f t="shared" ref="C175:F175" si="468">C173*C174</f>
        <v>0</v>
      </c>
      <c r="D175" s="690">
        <f t="shared" si="468"/>
        <v>0</v>
      </c>
      <c r="E175" s="690">
        <f t="shared" si="468"/>
        <v>0</v>
      </c>
      <c r="F175" s="690">
        <f t="shared" si="468"/>
        <v>0</v>
      </c>
      <c r="G175" s="902">
        <f>SUM(C175:F175)</f>
        <v>0</v>
      </c>
      <c r="H175" s="690">
        <f t="shared" ref="H175:M175" si="469">H173*H174</f>
        <v>0</v>
      </c>
      <c r="I175" s="690">
        <f t="shared" si="469"/>
        <v>0</v>
      </c>
      <c r="J175" s="690">
        <f t="shared" si="469"/>
        <v>0</v>
      </c>
      <c r="K175" s="690">
        <f t="shared" si="469"/>
        <v>0</v>
      </c>
      <c r="L175" s="690">
        <f t="shared" si="469"/>
        <v>0</v>
      </c>
      <c r="M175" s="690">
        <f t="shared" si="469"/>
        <v>0</v>
      </c>
      <c r="N175" s="690">
        <f t="shared" ref="N175:S175" si="470">N173*N174</f>
        <v>0</v>
      </c>
      <c r="O175" s="690">
        <f t="shared" si="470"/>
        <v>0</v>
      </c>
      <c r="P175" s="690">
        <f t="shared" si="470"/>
        <v>0</v>
      </c>
      <c r="Q175" s="690">
        <f t="shared" si="470"/>
        <v>0</v>
      </c>
      <c r="R175" s="690">
        <f t="shared" si="470"/>
        <v>0</v>
      </c>
      <c r="S175" s="690">
        <f t="shared" si="470"/>
        <v>0</v>
      </c>
      <c r="T175" s="917">
        <f>SUM(H175:S175)</f>
        <v>0</v>
      </c>
      <c r="U175" s="690">
        <f t="shared" ref="U175:AF175" si="471">U173*U174</f>
        <v>0</v>
      </c>
      <c r="V175" s="690">
        <f t="shared" si="471"/>
        <v>0</v>
      </c>
      <c r="W175" s="690">
        <f t="shared" si="471"/>
        <v>0</v>
      </c>
      <c r="X175" s="690">
        <f t="shared" si="471"/>
        <v>0</v>
      </c>
      <c r="Y175" s="690">
        <f t="shared" si="471"/>
        <v>0</v>
      </c>
      <c r="Z175" s="690">
        <f t="shared" si="471"/>
        <v>0</v>
      </c>
      <c r="AA175" s="690">
        <f t="shared" si="471"/>
        <v>0</v>
      </c>
      <c r="AB175" s="690">
        <f t="shared" si="471"/>
        <v>0</v>
      </c>
      <c r="AC175" s="690">
        <f t="shared" si="471"/>
        <v>0</v>
      </c>
      <c r="AD175" s="690">
        <f t="shared" si="471"/>
        <v>0</v>
      </c>
      <c r="AE175" s="690">
        <f t="shared" si="471"/>
        <v>0</v>
      </c>
      <c r="AF175" s="690">
        <f t="shared" si="471"/>
        <v>0</v>
      </c>
      <c r="AG175" s="902">
        <f>SUM(U175:AF175)</f>
        <v>0</v>
      </c>
      <c r="AH175" s="902">
        <f t="shared" ref="AH175:AO175" si="472">AH173*AH174</f>
        <v>0</v>
      </c>
      <c r="AI175" s="902">
        <f t="shared" si="472"/>
        <v>0</v>
      </c>
      <c r="AJ175" s="902">
        <f t="shared" si="472"/>
        <v>0</v>
      </c>
      <c r="AK175" s="902">
        <f t="shared" si="472"/>
        <v>0</v>
      </c>
      <c r="AL175" s="902">
        <f t="shared" si="472"/>
        <v>0</v>
      </c>
      <c r="AM175" s="902">
        <f t="shared" si="472"/>
        <v>0</v>
      </c>
      <c r="AN175" s="902">
        <f t="shared" si="472"/>
        <v>0</v>
      </c>
      <c r="AO175" s="996">
        <f t="shared" si="472"/>
        <v>0</v>
      </c>
    </row>
    <row r="176" spans="1:42" s="18" customFormat="1" ht="13.15" customHeight="1" x14ac:dyDescent="0.2">
      <c r="A176" s="680" t="s">
        <v>249</v>
      </c>
      <c r="B176" s="680"/>
      <c r="C176" s="686">
        <f t="shared" ref="C176:F176" si="473">C170</f>
        <v>2.5</v>
      </c>
      <c r="D176" s="686">
        <f t="shared" si="473"/>
        <v>2.5</v>
      </c>
      <c r="E176" s="686">
        <f t="shared" si="473"/>
        <v>2.5</v>
      </c>
      <c r="F176" s="686">
        <f t="shared" si="473"/>
        <v>2.5</v>
      </c>
      <c r="G176" s="903">
        <f>F176</f>
        <v>2.5</v>
      </c>
      <c r="H176" s="686">
        <f t="shared" ref="H176:M176" si="474">H170</f>
        <v>2.5</v>
      </c>
      <c r="I176" s="686">
        <f t="shared" si="474"/>
        <v>2.5</v>
      </c>
      <c r="J176" s="686">
        <f t="shared" si="474"/>
        <v>2.5</v>
      </c>
      <c r="K176" s="686">
        <f t="shared" si="474"/>
        <v>2.5</v>
      </c>
      <c r="L176" s="686">
        <f t="shared" si="474"/>
        <v>2.5</v>
      </c>
      <c r="M176" s="686">
        <f t="shared" si="474"/>
        <v>2.5</v>
      </c>
      <c r="N176" s="686">
        <f t="shared" ref="N176:AO176" si="475">N170</f>
        <v>2.5</v>
      </c>
      <c r="O176" s="686">
        <f t="shared" si="475"/>
        <v>2.5</v>
      </c>
      <c r="P176" s="686">
        <f t="shared" si="475"/>
        <v>2.5</v>
      </c>
      <c r="Q176" s="686">
        <f t="shared" si="475"/>
        <v>2.5</v>
      </c>
      <c r="R176" s="686">
        <f t="shared" si="475"/>
        <v>2.5</v>
      </c>
      <c r="S176" s="686">
        <f t="shared" si="475"/>
        <v>2.5</v>
      </c>
      <c r="T176" s="919">
        <f t="shared" si="475"/>
        <v>2.5</v>
      </c>
      <c r="U176" s="686">
        <f t="shared" si="475"/>
        <v>2.5</v>
      </c>
      <c r="V176" s="686">
        <f t="shared" si="475"/>
        <v>2.5</v>
      </c>
      <c r="W176" s="686">
        <f t="shared" si="475"/>
        <v>2.5</v>
      </c>
      <c r="X176" s="686">
        <f t="shared" si="475"/>
        <v>2.5</v>
      </c>
      <c r="Y176" s="686">
        <f t="shared" si="475"/>
        <v>2.5</v>
      </c>
      <c r="Z176" s="686">
        <f t="shared" si="475"/>
        <v>2.5</v>
      </c>
      <c r="AA176" s="686">
        <f t="shared" si="475"/>
        <v>2.5</v>
      </c>
      <c r="AB176" s="686">
        <f t="shared" si="475"/>
        <v>2.5</v>
      </c>
      <c r="AC176" s="686">
        <f t="shared" si="475"/>
        <v>2.5</v>
      </c>
      <c r="AD176" s="686">
        <f t="shared" si="475"/>
        <v>2.5</v>
      </c>
      <c r="AE176" s="686">
        <f t="shared" si="475"/>
        <v>2.5</v>
      </c>
      <c r="AF176" s="686">
        <f t="shared" si="475"/>
        <v>2.5</v>
      </c>
      <c r="AG176" s="919">
        <f t="shared" si="475"/>
        <v>2.5</v>
      </c>
      <c r="AH176" s="919">
        <f t="shared" si="475"/>
        <v>2.5</v>
      </c>
      <c r="AI176" s="919">
        <f t="shared" si="475"/>
        <v>2.5</v>
      </c>
      <c r="AJ176" s="919">
        <f t="shared" si="475"/>
        <v>2.5</v>
      </c>
      <c r="AK176" s="919">
        <f t="shared" si="475"/>
        <v>2.5</v>
      </c>
      <c r="AL176" s="919">
        <f t="shared" si="475"/>
        <v>2.5</v>
      </c>
      <c r="AM176" s="919">
        <f t="shared" si="475"/>
        <v>2.5</v>
      </c>
      <c r="AN176" s="919">
        <f t="shared" si="475"/>
        <v>2.5</v>
      </c>
      <c r="AO176" s="998">
        <f t="shared" si="475"/>
        <v>2.5</v>
      </c>
    </row>
    <row r="177" spans="1:42" s="18" customFormat="1" ht="13.15" customHeight="1" x14ac:dyDescent="0.2">
      <c r="A177" s="680" t="s">
        <v>255</v>
      </c>
      <c r="B177" s="680"/>
      <c r="C177" s="690">
        <f t="shared" ref="C177:F177" si="476">C175*C176</f>
        <v>0</v>
      </c>
      <c r="D177" s="690">
        <f t="shared" si="476"/>
        <v>0</v>
      </c>
      <c r="E177" s="690">
        <f t="shared" si="476"/>
        <v>0</v>
      </c>
      <c r="F177" s="690">
        <f t="shared" si="476"/>
        <v>0</v>
      </c>
      <c r="G177" s="902">
        <f>SUM(C177:F177)</f>
        <v>0</v>
      </c>
      <c r="H177" s="690">
        <f t="shared" ref="H177:M177" si="477">H175*H176</f>
        <v>0</v>
      </c>
      <c r="I177" s="690">
        <f t="shared" si="477"/>
        <v>0</v>
      </c>
      <c r="J177" s="690">
        <f t="shared" si="477"/>
        <v>0</v>
      </c>
      <c r="K177" s="690">
        <f t="shared" si="477"/>
        <v>0</v>
      </c>
      <c r="L177" s="690">
        <f t="shared" si="477"/>
        <v>0</v>
      </c>
      <c r="M177" s="690">
        <f t="shared" si="477"/>
        <v>0</v>
      </c>
      <c r="N177" s="690">
        <f t="shared" ref="N177:S177" si="478">N175*N176</f>
        <v>0</v>
      </c>
      <c r="O177" s="690">
        <f t="shared" si="478"/>
        <v>0</v>
      </c>
      <c r="P177" s="690">
        <f t="shared" si="478"/>
        <v>0</v>
      </c>
      <c r="Q177" s="690">
        <f t="shared" si="478"/>
        <v>0</v>
      </c>
      <c r="R177" s="690">
        <f t="shared" si="478"/>
        <v>0</v>
      </c>
      <c r="S177" s="690">
        <f t="shared" si="478"/>
        <v>0</v>
      </c>
      <c r="T177" s="918">
        <f>SUM(H177:S177)</f>
        <v>0</v>
      </c>
      <c r="U177" s="690">
        <f t="shared" ref="U177:AF177" si="479">U175*U176</f>
        <v>0</v>
      </c>
      <c r="V177" s="690">
        <f t="shared" si="479"/>
        <v>0</v>
      </c>
      <c r="W177" s="690">
        <f t="shared" si="479"/>
        <v>0</v>
      </c>
      <c r="X177" s="690">
        <f t="shared" si="479"/>
        <v>0</v>
      </c>
      <c r="Y177" s="690">
        <f t="shared" si="479"/>
        <v>0</v>
      </c>
      <c r="Z177" s="690">
        <f t="shared" si="479"/>
        <v>0</v>
      </c>
      <c r="AA177" s="690">
        <f t="shared" si="479"/>
        <v>0</v>
      </c>
      <c r="AB177" s="690">
        <f t="shared" si="479"/>
        <v>0</v>
      </c>
      <c r="AC177" s="690">
        <f t="shared" si="479"/>
        <v>0</v>
      </c>
      <c r="AD177" s="690">
        <f t="shared" si="479"/>
        <v>0</v>
      </c>
      <c r="AE177" s="690">
        <f t="shared" si="479"/>
        <v>0</v>
      </c>
      <c r="AF177" s="690">
        <f t="shared" si="479"/>
        <v>0</v>
      </c>
      <c r="AG177" s="918">
        <f>SUM(U177:AF177)</f>
        <v>0</v>
      </c>
      <c r="AH177" s="902">
        <f t="shared" ref="AH177:AO177" si="480">AH175*AH176</f>
        <v>0</v>
      </c>
      <c r="AI177" s="902">
        <f t="shared" si="480"/>
        <v>0</v>
      </c>
      <c r="AJ177" s="902">
        <f t="shared" si="480"/>
        <v>0</v>
      </c>
      <c r="AK177" s="902">
        <f t="shared" si="480"/>
        <v>0</v>
      </c>
      <c r="AL177" s="902">
        <f t="shared" si="480"/>
        <v>0</v>
      </c>
      <c r="AM177" s="902">
        <f t="shared" si="480"/>
        <v>0</v>
      </c>
      <c r="AN177" s="902">
        <f t="shared" si="480"/>
        <v>0</v>
      </c>
      <c r="AO177" s="996">
        <f t="shared" si="480"/>
        <v>0</v>
      </c>
    </row>
    <row r="178" spans="1:42" s="18" customFormat="1" ht="13.15" customHeight="1" x14ac:dyDescent="0.2">
      <c r="A178" s="674"/>
      <c r="B178" s="674"/>
      <c r="C178" s="682"/>
      <c r="D178" s="682"/>
      <c r="E178" s="682"/>
      <c r="F178" s="682"/>
      <c r="G178" s="900"/>
      <c r="H178" s="682"/>
      <c r="I178" s="682"/>
      <c r="J178" s="682"/>
      <c r="K178" s="682"/>
      <c r="L178" s="682"/>
      <c r="M178" s="682"/>
      <c r="N178" s="682"/>
      <c r="O178" s="682"/>
      <c r="P178" s="682"/>
      <c r="Q178" s="682"/>
      <c r="R178" s="682"/>
      <c r="S178" s="682"/>
      <c r="T178" s="917"/>
      <c r="U178" s="682"/>
      <c r="V178" s="682"/>
      <c r="W178" s="682"/>
      <c r="X178" s="682"/>
      <c r="Y178" s="682"/>
      <c r="Z178" s="682"/>
      <c r="AA178" s="682"/>
      <c r="AB178" s="682"/>
      <c r="AC178" s="682"/>
      <c r="AD178" s="682"/>
      <c r="AE178" s="682"/>
      <c r="AF178" s="682"/>
      <c r="AG178" s="917"/>
      <c r="AH178" s="917"/>
      <c r="AI178" s="917"/>
      <c r="AJ178" s="917"/>
      <c r="AK178" s="924"/>
      <c r="AL178" s="924"/>
      <c r="AM178" s="924"/>
      <c r="AN178" s="924"/>
      <c r="AO178" s="995"/>
    </row>
    <row r="179" spans="1:42" s="18" customFormat="1" ht="13.15" customHeight="1" x14ac:dyDescent="0.2">
      <c r="A179" s="680" t="s">
        <v>256</v>
      </c>
      <c r="B179" s="680"/>
      <c r="C179" s="689">
        <v>0</v>
      </c>
      <c r="D179" s="689">
        <v>0</v>
      </c>
      <c r="E179" s="689">
        <v>0</v>
      </c>
      <c r="F179" s="689">
        <v>0</v>
      </c>
      <c r="G179" s="902">
        <f>F179</f>
        <v>0</v>
      </c>
      <c r="H179" s="689">
        <v>0</v>
      </c>
      <c r="I179" s="689">
        <v>0</v>
      </c>
      <c r="J179" s="689">
        <v>0</v>
      </c>
      <c r="K179" s="689">
        <v>0</v>
      </c>
      <c r="L179" s="689">
        <v>0</v>
      </c>
      <c r="M179" s="689">
        <v>0</v>
      </c>
      <c r="N179" s="689">
        <v>0</v>
      </c>
      <c r="O179" s="689">
        <v>0</v>
      </c>
      <c r="P179" s="689">
        <v>0</v>
      </c>
      <c r="Q179" s="689">
        <v>0</v>
      </c>
      <c r="R179" s="689">
        <v>0</v>
      </c>
      <c r="S179" s="689">
        <v>0</v>
      </c>
      <c r="T179" s="902">
        <f>S179</f>
        <v>0</v>
      </c>
      <c r="U179" s="689">
        <f>S179</f>
        <v>0</v>
      </c>
      <c r="V179" s="689">
        <f t="shared" ref="V179:AG179" si="481">U179</f>
        <v>0</v>
      </c>
      <c r="W179" s="689">
        <f t="shared" si="481"/>
        <v>0</v>
      </c>
      <c r="X179" s="689">
        <f t="shared" si="481"/>
        <v>0</v>
      </c>
      <c r="Y179" s="689">
        <f t="shared" si="481"/>
        <v>0</v>
      </c>
      <c r="Z179" s="689">
        <f t="shared" si="481"/>
        <v>0</v>
      </c>
      <c r="AA179" s="689">
        <f t="shared" si="481"/>
        <v>0</v>
      </c>
      <c r="AB179" s="689">
        <f t="shared" si="481"/>
        <v>0</v>
      </c>
      <c r="AC179" s="689">
        <f t="shared" si="481"/>
        <v>0</v>
      </c>
      <c r="AD179" s="689">
        <f t="shared" si="481"/>
        <v>0</v>
      </c>
      <c r="AE179" s="689">
        <f t="shared" si="481"/>
        <v>0</v>
      </c>
      <c r="AF179" s="689">
        <f t="shared" si="481"/>
        <v>0</v>
      </c>
      <c r="AG179" s="902">
        <f t="shared" si="481"/>
        <v>0</v>
      </c>
      <c r="AH179" s="899">
        <f>AF179</f>
        <v>0</v>
      </c>
      <c r="AI179" s="899">
        <f t="shared" ref="AI179:AO179" si="482">AH179</f>
        <v>0</v>
      </c>
      <c r="AJ179" s="899">
        <f t="shared" si="482"/>
        <v>0</v>
      </c>
      <c r="AK179" s="899">
        <f t="shared" si="482"/>
        <v>0</v>
      </c>
      <c r="AL179" s="899">
        <f t="shared" si="482"/>
        <v>0</v>
      </c>
      <c r="AM179" s="899">
        <f t="shared" si="482"/>
        <v>0</v>
      </c>
      <c r="AN179" s="899">
        <f t="shared" si="482"/>
        <v>0</v>
      </c>
      <c r="AO179" s="1000">
        <f t="shared" si="482"/>
        <v>0</v>
      </c>
    </row>
    <row r="180" spans="1:42" s="18" customFormat="1" ht="13.15" customHeight="1" x14ac:dyDescent="0.2">
      <c r="A180" s="680" t="s">
        <v>252</v>
      </c>
      <c r="B180" s="680"/>
      <c r="C180" s="689">
        <v>0</v>
      </c>
      <c r="D180" s="689">
        <v>0</v>
      </c>
      <c r="E180" s="689">
        <v>0</v>
      </c>
      <c r="F180" s="689">
        <v>0</v>
      </c>
      <c r="G180" s="902">
        <f>SUM(C180:F180)</f>
        <v>0</v>
      </c>
      <c r="H180" s="689">
        <v>0</v>
      </c>
      <c r="I180" s="689">
        <v>0</v>
      </c>
      <c r="J180" s="689">
        <v>0</v>
      </c>
      <c r="K180" s="689">
        <v>0</v>
      </c>
      <c r="L180" s="689">
        <v>0</v>
      </c>
      <c r="M180" s="689">
        <v>0</v>
      </c>
      <c r="N180" s="689">
        <f t="shared" ref="N180:S180" si="483">300/12</f>
        <v>25</v>
      </c>
      <c r="O180" s="689">
        <f t="shared" si="483"/>
        <v>25</v>
      </c>
      <c r="P180" s="689">
        <f t="shared" si="483"/>
        <v>25</v>
      </c>
      <c r="Q180" s="689">
        <f t="shared" si="483"/>
        <v>25</v>
      </c>
      <c r="R180" s="689">
        <f t="shared" si="483"/>
        <v>25</v>
      </c>
      <c r="S180" s="689">
        <f t="shared" si="483"/>
        <v>25</v>
      </c>
      <c r="T180" s="917">
        <f>SUM(H180:S180)</f>
        <v>150</v>
      </c>
      <c r="U180" s="689">
        <f>300/12</f>
        <v>25</v>
      </c>
      <c r="V180" s="689">
        <f t="shared" ref="V180:AF180" si="484">300/12</f>
        <v>25</v>
      </c>
      <c r="W180" s="689">
        <f t="shared" si="484"/>
        <v>25</v>
      </c>
      <c r="X180" s="689">
        <f t="shared" si="484"/>
        <v>25</v>
      </c>
      <c r="Y180" s="689">
        <f t="shared" si="484"/>
        <v>25</v>
      </c>
      <c r="Z180" s="689">
        <f t="shared" si="484"/>
        <v>25</v>
      </c>
      <c r="AA180" s="689">
        <f t="shared" si="484"/>
        <v>25</v>
      </c>
      <c r="AB180" s="689">
        <f t="shared" si="484"/>
        <v>25</v>
      </c>
      <c r="AC180" s="689">
        <f t="shared" si="484"/>
        <v>25</v>
      </c>
      <c r="AD180" s="689">
        <f t="shared" si="484"/>
        <v>25</v>
      </c>
      <c r="AE180" s="689">
        <f t="shared" si="484"/>
        <v>25</v>
      </c>
      <c r="AF180" s="689">
        <f t="shared" si="484"/>
        <v>25</v>
      </c>
      <c r="AG180" s="917">
        <f>SUM(U180:AF180)</f>
        <v>300</v>
      </c>
      <c r="AH180" s="899">
        <v>300</v>
      </c>
      <c r="AI180" s="899">
        <v>300</v>
      </c>
      <c r="AJ180" s="899">
        <v>300</v>
      </c>
      <c r="AK180" s="899">
        <v>300</v>
      </c>
      <c r="AL180" s="899">
        <v>300</v>
      </c>
      <c r="AM180" s="899">
        <v>300</v>
      </c>
      <c r="AN180" s="899">
        <v>300</v>
      </c>
      <c r="AO180" s="1000">
        <v>300</v>
      </c>
    </row>
    <row r="181" spans="1:42" s="18" customFormat="1" ht="13.15" customHeight="1" x14ac:dyDescent="0.2">
      <c r="A181" s="680" t="s">
        <v>254</v>
      </c>
      <c r="B181" s="680"/>
      <c r="C181" s="690">
        <f t="shared" ref="C181:F181" si="485">C179*C180</f>
        <v>0</v>
      </c>
      <c r="D181" s="690">
        <f t="shared" si="485"/>
        <v>0</v>
      </c>
      <c r="E181" s="690">
        <f t="shared" si="485"/>
        <v>0</v>
      </c>
      <c r="F181" s="690">
        <f t="shared" si="485"/>
        <v>0</v>
      </c>
      <c r="G181" s="902">
        <f>SUM(C181:F181)</f>
        <v>0</v>
      </c>
      <c r="H181" s="690">
        <f t="shared" ref="H181:M181" si="486">H179*H180</f>
        <v>0</v>
      </c>
      <c r="I181" s="690">
        <f t="shared" si="486"/>
        <v>0</v>
      </c>
      <c r="J181" s="690">
        <f t="shared" si="486"/>
        <v>0</v>
      </c>
      <c r="K181" s="690">
        <f t="shared" si="486"/>
        <v>0</v>
      </c>
      <c r="L181" s="690">
        <f t="shared" si="486"/>
        <v>0</v>
      </c>
      <c r="M181" s="690">
        <f t="shared" si="486"/>
        <v>0</v>
      </c>
      <c r="N181" s="690">
        <f t="shared" ref="N181:S181" si="487">N179*N180</f>
        <v>0</v>
      </c>
      <c r="O181" s="690">
        <f t="shared" si="487"/>
        <v>0</v>
      </c>
      <c r="P181" s="690">
        <f t="shared" si="487"/>
        <v>0</v>
      </c>
      <c r="Q181" s="690">
        <f t="shared" si="487"/>
        <v>0</v>
      </c>
      <c r="R181" s="690">
        <f t="shared" si="487"/>
        <v>0</v>
      </c>
      <c r="S181" s="690">
        <f t="shared" si="487"/>
        <v>0</v>
      </c>
      <c r="T181" s="917">
        <f>SUM(H181:S181)</f>
        <v>0</v>
      </c>
      <c r="U181" s="690">
        <f t="shared" ref="U181:AF181" si="488">U179*U180</f>
        <v>0</v>
      </c>
      <c r="V181" s="690">
        <f t="shared" si="488"/>
        <v>0</v>
      </c>
      <c r="W181" s="690">
        <f t="shared" si="488"/>
        <v>0</v>
      </c>
      <c r="X181" s="690">
        <f t="shared" si="488"/>
        <v>0</v>
      </c>
      <c r="Y181" s="690">
        <f t="shared" si="488"/>
        <v>0</v>
      </c>
      <c r="Z181" s="690">
        <f t="shared" si="488"/>
        <v>0</v>
      </c>
      <c r="AA181" s="690">
        <f t="shared" si="488"/>
        <v>0</v>
      </c>
      <c r="AB181" s="690">
        <f t="shared" si="488"/>
        <v>0</v>
      </c>
      <c r="AC181" s="690">
        <f t="shared" si="488"/>
        <v>0</v>
      </c>
      <c r="AD181" s="690">
        <f t="shared" si="488"/>
        <v>0</v>
      </c>
      <c r="AE181" s="690">
        <f t="shared" si="488"/>
        <v>0</v>
      </c>
      <c r="AF181" s="690">
        <f t="shared" si="488"/>
        <v>0</v>
      </c>
      <c r="AG181" s="917">
        <f>SUM(U181:AF181)</f>
        <v>0</v>
      </c>
      <c r="AH181" s="902">
        <f t="shared" ref="AH181:AO181" si="489">AH179*AH180</f>
        <v>0</v>
      </c>
      <c r="AI181" s="902">
        <f t="shared" si="489"/>
        <v>0</v>
      </c>
      <c r="AJ181" s="902">
        <f t="shared" si="489"/>
        <v>0</v>
      </c>
      <c r="AK181" s="902">
        <f t="shared" si="489"/>
        <v>0</v>
      </c>
      <c r="AL181" s="902">
        <f t="shared" si="489"/>
        <v>0</v>
      </c>
      <c r="AM181" s="902">
        <f t="shared" si="489"/>
        <v>0</v>
      </c>
      <c r="AN181" s="902">
        <f t="shared" si="489"/>
        <v>0</v>
      </c>
      <c r="AO181" s="996">
        <f t="shared" si="489"/>
        <v>0</v>
      </c>
    </row>
    <row r="182" spans="1:42" s="18" customFormat="1" ht="13.15" customHeight="1" x14ac:dyDescent="0.2">
      <c r="A182" s="680" t="s">
        <v>249</v>
      </c>
      <c r="B182" s="680"/>
      <c r="C182" s="686">
        <f t="shared" ref="C182:F182" si="490">C170</f>
        <v>2.5</v>
      </c>
      <c r="D182" s="686">
        <f t="shared" si="490"/>
        <v>2.5</v>
      </c>
      <c r="E182" s="686">
        <f t="shared" si="490"/>
        <v>2.5</v>
      </c>
      <c r="F182" s="686">
        <f t="shared" si="490"/>
        <v>2.5</v>
      </c>
      <c r="G182" s="903">
        <f>F182</f>
        <v>2.5</v>
      </c>
      <c r="H182" s="686">
        <f t="shared" ref="H182:M182" si="491">H170</f>
        <v>2.5</v>
      </c>
      <c r="I182" s="686">
        <f t="shared" si="491"/>
        <v>2.5</v>
      </c>
      <c r="J182" s="686">
        <f t="shared" si="491"/>
        <v>2.5</v>
      </c>
      <c r="K182" s="686">
        <f t="shared" si="491"/>
        <v>2.5</v>
      </c>
      <c r="L182" s="686">
        <f t="shared" si="491"/>
        <v>2.5</v>
      </c>
      <c r="M182" s="686">
        <f t="shared" si="491"/>
        <v>2.5</v>
      </c>
      <c r="N182" s="686">
        <f t="shared" ref="N182:T182" si="492">M182</f>
        <v>2.5</v>
      </c>
      <c r="O182" s="686">
        <f t="shared" si="492"/>
        <v>2.5</v>
      </c>
      <c r="P182" s="686">
        <f t="shared" si="492"/>
        <v>2.5</v>
      </c>
      <c r="Q182" s="686">
        <f t="shared" si="492"/>
        <v>2.5</v>
      </c>
      <c r="R182" s="686">
        <f t="shared" si="492"/>
        <v>2.5</v>
      </c>
      <c r="S182" s="686">
        <f t="shared" si="492"/>
        <v>2.5</v>
      </c>
      <c r="T182" s="919">
        <f t="shared" si="492"/>
        <v>2.5</v>
      </c>
      <c r="U182" s="686">
        <f>S182</f>
        <v>2.5</v>
      </c>
      <c r="V182" s="686">
        <f t="shared" ref="V182:AC182" si="493">U182</f>
        <v>2.5</v>
      </c>
      <c r="W182" s="686">
        <f t="shared" si="493"/>
        <v>2.5</v>
      </c>
      <c r="X182" s="686">
        <f t="shared" si="493"/>
        <v>2.5</v>
      </c>
      <c r="Y182" s="686">
        <f t="shared" si="493"/>
        <v>2.5</v>
      </c>
      <c r="Z182" s="686">
        <f t="shared" si="493"/>
        <v>2.5</v>
      </c>
      <c r="AA182" s="686">
        <f t="shared" si="493"/>
        <v>2.5</v>
      </c>
      <c r="AB182" s="686">
        <f t="shared" si="493"/>
        <v>2.5</v>
      </c>
      <c r="AC182" s="686">
        <f t="shared" si="493"/>
        <v>2.5</v>
      </c>
      <c r="AD182" s="686">
        <f>AD170</f>
        <v>2.5</v>
      </c>
      <c r="AE182" s="686">
        <f t="shared" ref="AE182:AO182" si="494">AE170</f>
        <v>2.5</v>
      </c>
      <c r="AF182" s="686">
        <f t="shared" si="494"/>
        <v>2.5</v>
      </c>
      <c r="AG182" s="919">
        <f t="shared" si="494"/>
        <v>2.5</v>
      </c>
      <c r="AH182" s="919">
        <f t="shared" si="494"/>
        <v>2.5</v>
      </c>
      <c r="AI182" s="919">
        <f t="shared" si="494"/>
        <v>2.5</v>
      </c>
      <c r="AJ182" s="919">
        <f t="shared" si="494"/>
        <v>2.5</v>
      </c>
      <c r="AK182" s="919">
        <f t="shared" si="494"/>
        <v>2.5</v>
      </c>
      <c r="AL182" s="919">
        <f t="shared" si="494"/>
        <v>2.5</v>
      </c>
      <c r="AM182" s="919">
        <f t="shared" si="494"/>
        <v>2.5</v>
      </c>
      <c r="AN182" s="919">
        <f t="shared" si="494"/>
        <v>2.5</v>
      </c>
      <c r="AO182" s="998">
        <f t="shared" si="494"/>
        <v>2.5</v>
      </c>
    </row>
    <row r="183" spans="1:42" s="18" customFormat="1" ht="13.15" customHeight="1" x14ac:dyDescent="0.2">
      <c r="A183" s="680" t="s">
        <v>255</v>
      </c>
      <c r="B183" s="680"/>
      <c r="C183" s="690">
        <f t="shared" ref="C183:F183" si="495">C181*C182</f>
        <v>0</v>
      </c>
      <c r="D183" s="690">
        <f t="shared" si="495"/>
        <v>0</v>
      </c>
      <c r="E183" s="690">
        <f t="shared" si="495"/>
        <v>0</v>
      </c>
      <c r="F183" s="690">
        <f t="shared" si="495"/>
        <v>0</v>
      </c>
      <c r="G183" s="902">
        <f>SUM(C183:F183)</f>
        <v>0</v>
      </c>
      <c r="H183" s="690">
        <f t="shared" ref="H183:M183" si="496">H181*H182</f>
        <v>0</v>
      </c>
      <c r="I183" s="690">
        <f t="shared" si="496"/>
        <v>0</v>
      </c>
      <c r="J183" s="690">
        <f t="shared" si="496"/>
        <v>0</v>
      </c>
      <c r="K183" s="690">
        <f t="shared" si="496"/>
        <v>0</v>
      </c>
      <c r="L183" s="690">
        <f t="shared" si="496"/>
        <v>0</v>
      </c>
      <c r="M183" s="690">
        <f t="shared" si="496"/>
        <v>0</v>
      </c>
      <c r="N183" s="690">
        <f t="shared" ref="N183:S183" si="497">N181*N182</f>
        <v>0</v>
      </c>
      <c r="O183" s="690">
        <f t="shared" si="497"/>
        <v>0</v>
      </c>
      <c r="P183" s="690">
        <f t="shared" si="497"/>
        <v>0</v>
      </c>
      <c r="Q183" s="690">
        <f t="shared" si="497"/>
        <v>0</v>
      </c>
      <c r="R183" s="690">
        <f t="shared" si="497"/>
        <v>0</v>
      </c>
      <c r="S183" s="690">
        <f t="shared" si="497"/>
        <v>0</v>
      </c>
      <c r="T183" s="918">
        <f>SUM(H183:S183)</f>
        <v>0</v>
      </c>
      <c r="U183" s="690">
        <f t="shared" ref="U183:AF183" si="498">U181*U182</f>
        <v>0</v>
      </c>
      <c r="V183" s="690">
        <f t="shared" si="498"/>
        <v>0</v>
      </c>
      <c r="W183" s="690">
        <f t="shared" si="498"/>
        <v>0</v>
      </c>
      <c r="X183" s="690">
        <f t="shared" si="498"/>
        <v>0</v>
      </c>
      <c r="Y183" s="690">
        <f t="shared" si="498"/>
        <v>0</v>
      </c>
      <c r="Z183" s="690">
        <f t="shared" si="498"/>
        <v>0</v>
      </c>
      <c r="AA183" s="690">
        <f t="shared" si="498"/>
        <v>0</v>
      </c>
      <c r="AB183" s="690">
        <f t="shared" si="498"/>
        <v>0</v>
      </c>
      <c r="AC183" s="690">
        <f t="shared" si="498"/>
        <v>0</v>
      </c>
      <c r="AD183" s="690">
        <f t="shared" si="498"/>
        <v>0</v>
      </c>
      <c r="AE183" s="690">
        <f t="shared" si="498"/>
        <v>0</v>
      </c>
      <c r="AF183" s="690">
        <f t="shared" si="498"/>
        <v>0</v>
      </c>
      <c r="AG183" s="918">
        <f>SUM(U183:AF183)</f>
        <v>0</v>
      </c>
      <c r="AH183" s="902">
        <f t="shared" ref="AH183:AO183" si="499">AH181*AH182</f>
        <v>0</v>
      </c>
      <c r="AI183" s="902">
        <f t="shared" si="499"/>
        <v>0</v>
      </c>
      <c r="AJ183" s="902">
        <f t="shared" si="499"/>
        <v>0</v>
      </c>
      <c r="AK183" s="902">
        <f t="shared" si="499"/>
        <v>0</v>
      </c>
      <c r="AL183" s="902">
        <f t="shared" si="499"/>
        <v>0</v>
      </c>
      <c r="AM183" s="902">
        <f t="shared" si="499"/>
        <v>0</v>
      </c>
      <c r="AN183" s="902">
        <f t="shared" si="499"/>
        <v>0</v>
      </c>
      <c r="AO183" s="996">
        <f t="shared" si="499"/>
        <v>0</v>
      </c>
    </row>
    <row r="184" spans="1:42" s="18" customFormat="1" ht="13.15" customHeight="1" x14ac:dyDescent="0.2">
      <c r="A184" s="680"/>
      <c r="B184" s="680"/>
      <c r="C184" s="682"/>
      <c r="D184" s="682"/>
      <c r="E184" s="682"/>
      <c r="F184" s="682"/>
      <c r="G184" s="900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2"/>
      <c r="T184" s="917"/>
      <c r="U184" s="682"/>
      <c r="V184" s="682"/>
      <c r="W184" s="682"/>
      <c r="X184" s="682"/>
      <c r="Y184" s="682"/>
      <c r="Z184" s="682"/>
      <c r="AA184" s="682"/>
      <c r="AB184" s="682"/>
      <c r="AC184" s="682"/>
      <c r="AD184" s="682"/>
      <c r="AE184" s="682"/>
      <c r="AF184" s="682"/>
      <c r="AG184" s="917"/>
      <c r="AH184" s="917"/>
      <c r="AI184" s="917"/>
      <c r="AJ184" s="917"/>
      <c r="AK184" s="924"/>
      <c r="AL184" s="924"/>
      <c r="AM184" s="924"/>
      <c r="AN184" s="924"/>
      <c r="AO184" s="995"/>
    </row>
    <row r="185" spans="1:42" s="277" customFormat="1" ht="13.15" customHeight="1" x14ac:dyDescent="0.2">
      <c r="A185" s="676" t="s">
        <v>257</v>
      </c>
      <c r="B185" s="676"/>
      <c r="C185" s="694">
        <f t="shared" ref="C185:F185" si="500">C171+C177+C183</f>
        <v>0</v>
      </c>
      <c r="D185" s="694">
        <f t="shared" si="500"/>
        <v>0</v>
      </c>
      <c r="E185" s="694">
        <f t="shared" si="500"/>
        <v>0</v>
      </c>
      <c r="F185" s="694">
        <f t="shared" si="500"/>
        <v>0</v>
      </c>
      <c r="G185" s="904">
        <f>SUM(C185:F185)</f>
        <v>0</v>
      </c>
      <c r="H185" s="694">
        <f t="shared" ref="H185:M185" si="501">H171+H177+H183</f>
        <v>0</v>
      </c>
      <c r="I185" s="694">
        <f t="shared" si="501"/>
        <v>0</v>
      </c>
      <c r="J185" s="694">
        <f t="shared" si="501"/>
        <v>0</v>
      </c>
      <c r="K185" s="694">
        <f t="shared" si="501"/>
        <v>0</v>
      </c>
      <c r="L185" s="694">
        <f t="shared" si="501"/>
        <v>0</v>
      </c>
      <c r="M185" s="694">
        <f t="shared" si="501"/>
        <v>0</v>
      </c>
      <c r="N185" s="694">
        <f t="shared" ref="N185:S185" si="502">N171+N177+N183</f>
        <v>0</v>
      </c>
      <c r="O185" s="694">
        <f t="shared" si="502"/>
        <v>0</v>
      </c>
      <c r="P185" s="694">
        <f t="shared" si="502"/>
        <v>0</v>
      </c>
      <c r="Q185" s="694">
        <f t="shared" si="502"/>
        <v>0</v>
      </c>
      <c r="R185" s="694">
        <f t="shared" si="502"/>
        <v>0</v>
      </c>
      <c r="S185" s="694">
        <f t="shared" si="502"/>
        <v>0</v>
      </c>
      <c r="T185" s="915">
        <f>SUM(H185:S185)</f>
        <v>0</v>
      </c>
      <c r="U185" s="694">
        <f t="shared" ref="U185:AF185" si="503">U171+U177+U183</f>
        <v>0</v>
      </c>
      <c r="V185" s="694">
        <f t="shared" si="503"/>
        <v>0</v>
      </c>
      <c r="W185" s="694">
        <f t="shared" si="503"/>
        <v>0</v>
      </c>
      <c r="X185" s="694">
        <f t="shared" si="503"/>
        <v>0</v>
      </c>
      <c r="Y185" s="694">
        <f t="shared" si="503"/>
        <v>0</v>
      </c>
      <c r="Z185" s="694">
        <f t="shared" si="503"/>
        <v>0</v>
      </c>
      <c r="AA185" s="694">
        <f t="shared" si="503"/>
        <v>0</v>
      </c>
      <c r="AB185" s="694">
        <f t="shared" si="503"/>
        <v>0</v>
      </c>
      <c r="AC185" s="694">
        <f t="shared" si="503"/>
        <v>0</v>
      </c>
      <c r="AD185" s="694">
        <f t="shared" si="503"/>
        <v>0</v>
      </c>
      <c r="AE185" s="694">
        <f t="shared" si="503"/>
        <v>0</v>
      </c>
      <c r="AF185" s="694">
        <f t="shared" si="503"/>
        <v>0</v>
      </c>
      <c r="AG185" s="904">
        <f>SUM(U185:AF185)</f>
        <v>0</v>
      </c>
      <c r="AH185" s="904">
        <f t="shared" ref="AH185:AO185" si="504">AH171+AH177+AH183</f>
        <v>496.12500000000006</v>
      </c>
      <c r="AI185" s="904">
        <f t="shared" si="504"/>
        <v>2063.88</v>
      </c>
      <c r="AJ185" s="904">
        <f t="shared" si="504"/>
        <v>4783.0418999999993</v>
      </c>
      <c r="AK185" s="904">
        <f t="shared" si="504"/>
        <v>9757.4054759999999</v>
      </c>
      <c r="AL185" s="904">
        <f t="shared" si="504"/>
        <v>16607.46550554</v>
      </c>
      <c r="AM185" s="904">
        <f t="shared" si="504"/>
        <v>21899.954512799999</v>
      </c>
      <c r="AN185" s="904">
        <f t="shared" si="504"/>
        <v>25549.946931600007</v>
      </c>
      <c r="AO185" s="1001">
        <f t="shared" si="504"/>
        <v>29199.939350400004</v>
      </c>
    </row>
    <row r="186" spans="1:42" s="18" customFormat="1" ht="13.15" customHeight="1" x14ac:dyDescent="0.2">
      <c r="A186" s="680"/>
      <c r="B186" s="680"/>
      <c r="C186" s="682"/>
      <c r="D186" s="682"/>
      <c r="E186" s="682"/>
      <c r="F186" s="682"/>
      <c r="G186" s="900"/>
      <c r="H186" s="682"/>
      <c r="I186" s="682"/>
      <c r="J186" s="682"/>
      <c r="K186" s="682"/>
      <c r="L186" s="682"/>
      <c r="M186" s="682"/>
      <c r="N186" s="682"/>
      <c r="O186" s="682"/>
      <c r="P186" s="682"/>
      <c r="Q186" s="682"/>
      <c r="R186" s="682"/>
      <c r="S186" s="682"/>
      <c r="T186" s="917"/>
      <c r="U186" s="682"/>
      <c r="V186" s="682"/>
      <c r="W186" s="682"/>
      <c r="X186" s="682"/>
      <c r="Y186" s="682"/>
      <c r="Z186" s="682"/>
      <c r="AA186" s="682"/>
      <c r="AB186" s="682"/>
      <c r="AC186" s="682"/>
      <c r="AD186" s="682"/>
      <c r="AE186" s="682"/>
      <c r="AF186" s="682"/>
      <c r="AG186" s="917"/>
      <c r="AH186" s="917"/>
      <c r="AI186" s="917"/>
      <c r="AJ186" s="917"/>
      <c r="AK186" s="924"/>
      <c r="AL186" s="924"/>
      <c r="AM186" s="924"/>
      <c r="AN186" s="924"/>
      <c r="AO186" s="995"/>
    </row>
    <row r="187" spans="1:42" s="18" customFormat="1" ht="13.15" customHeight="1" x14ac:dyDescent="0.2">
      <c r="A187" s="680" t="s">
        <v>258</v>
      </c>
      <c r="B187" s="680"/>
      <c r="C187" s="767">
        <f t="shared" ref="C187:F187" si="505">C106</f>
        <v>300</v>
      </c>
      <c r="D187" s="767">
        <f t="shared" si="505"/>
        <v>300</v>
      </c>
      <c r="E187" s="767">
        <f t="shared" si="505"/>
        <v>300</v>
      </c>
      <c r="F187" s="767">
        <f t="shared" si="505"/>
        <v>300</v>
      </c>
      <c r="G187" s="905">
        <f>F187</f>
        <v>300</v>
      </c>
      <c r="H187" s="767">
        <f t="shared" ref="H187:M187" si="506">H106</f>
        <v>300</v>
      </c>
      <c r="I187" s="767">
        <f t="shared" si="506"/>
        <v>300</v>
      </c>
      <c r="J187" s="767">
        <f t="shared" si="506"/>
        <v>300</v>
      </c>
      <c r="K187" s="767">
        <f t="shared" si="506"/>
        <v>300</v>
      </c>
      <c r="L187" s="767">
        <f t="shared" si="506"/>
        <v>300</v>
      </c>
      <c r="M187" s="767">
        <f t="shared" si="506"/>
        <v>300</v>
      </c>
      <c r="N187" s="767">
        <f t="shared" ref="N187:AO187" si="507">N$25</f>
        <v>300</v>
      </c>
      <c r="O187" s="767">
        <f t="shared" si="507"/>
        <v>300</v>
      </c>
      <c r="P187" s="767">
        <f t="shared" si="507"/>
        <v>300</v>
      </c>
      <c r="Q187" s="767">
        <f t="shared" si="507"/>
        <v>300</v>
      </c>
      <c r="R187" s="767">
        <f t="shared" si="507"/>
        <v>300</v>
      </c>
      <c r="S187" s="767">
        <f t="shared" si="507"/>
        <v>300</v>
      </c>
      <c r="T187" s="905">
        <f t="shared" si="507"/>
        <v>300</v>
      </c>
      <c r="U187" s="767">
        <f t="shared" si="507"/>
        <v>300</v>
      </c>
      <c r="V187" s="767">
        <f t="shared" si="507"/>
        <v>300</v>
      </c>
      <c r="W187" s="767">
        <f t="shared" si="507"/>
        <v>300</v>
      </c>
      <c r="X187" s="767">
        <f t="shared" si="507"/>
        <v>300</v>
      </c>
      <c r="Y187" s="767">
        <f t="shared" si="507"/>
        <v>300</v>
      </c>
      <c r="Z187" s="767">
        <f t="shared" si="507"/>
        <v>300</v>
      </c>
      <c r="AA187" s="767">
        <f t="shared" si="507"/>
        <v>300</v>
      </c>
      <c r="AB187" s="767">
        <f t="shared" si="507"/>
        <v>300</v>
      </c>
      <c r="AC187" s="767">
        <f t="shared" si="507"/>
        <v>300</v>
      </c>
      <c r="AD187" s="767">
        <f t="shared" si="507"/>
        <v>300</v>
      </c>
      <c r="AE187" s="767">
        <f t="shared" si="507"/>
        <v>300</v>
      </c>
      <c r="AF187" s="767">
        <f t="shared" si="507"/>
        <v>300</v>
      </c>
      <c r="AG187" s="905">
        <f t="shared" si="507"/>
        <v>300</v>
      </c>
      <c r="AH187" s="905">
        <f t="shared" si="507"/>
        <v>300</v>
      </c>
      <c r="AI187" s="905">
        <f t="shared" si="507"/>
        <v>300</v>
      </c>
      <c r="AJ187" s="905">
        <f t="shared" si="507"/>
        <v>300</v>
      </c>
      <c r="AK187" s="905">
        <f t="shared" si="507"/>
        <v>300</v>
      </c>
      <c r="AL187" s="905">
        <f t="shared" si="507"/>
        <v>300</v>
      </c>
      <c r="AM187" s="905">
        <f t="shared" si="507"/>
        <v>300</v>
      </c>
      <c r="AN187" s="905">
        <f t="shared" si="507"/>
        <v>300</v>
      </c>
      <c r="AO187" s="1002">
        <f t="shared" si="507"/>
        <v>300</v>
      </c>
      <c r="AP187" s="988"/>
    </row>
    <row r="188" spans="1:42" s="18" customFormat="1" ht="13.15" customHeight="1" x14ac:dyDescent="0.2">
      <c r="A188" s="680"/>
      <c r="B188" s="680"/>
      <c r="C188" s="682"/>
      <c r="D188" s="682"/>
      <c r="E188" s="682"/>
      <c r="F188" s="682"/>
      <c r="G188" s="900"/>
      <c r="H188" s="682"/>
      <c r="I188" s="682"/>
      <c r="J188" s="682"/>
      <c r="K188" s="682"/>
      <c r="L188" s="682"/>
      <c r="M188" s="682"/>
      <c r="N188" s="682"/>
      <c r="O188" s="682"/>
      <c r="P188" s="682"/>
      <c r="Q188" s="682"/>
      <c r="R188" s="682"/>
      <c r="S188" s="682"/>
      <c r="T188" s="917"/>
      <c r="U188" s="682"/>
      <c r="V188" s="682"/>
      <c r="W188" s="682"/>
      <c r="X188" s="682"/>
      <c r="Y188" s="682"/>
      <c r="Z188" s="682"/>
      <c r="AA188" s="682"/>
      <c r="AB188" s="682"/>
      <c r="AC188" s="682"/>
      <c r="AD188" s="682"/>
      <c r="AE188" s="682"/>
      <c r="AF188" s="682"/>
      <c r="AG188" s="917"/>
      <c r="AH188" s="917"/>
      <c r="AI188" s="917"/>
      <c r="AJ188" s="917"/>
      <c r="AK188" s="924"/>
      <c r="AL188" s="924"/>
      <c r="AM188" s="924"/>
      <c r="AN188" s="924"/>
      <c r="AO188" s="995"/>
    </row>
    <row r="189" spans="1:42" s="794" customFormat="1" ht="13.15" customHeight="1" x14ac:dyDescent="0.2">
      <c r="A189" s="763" t="s">
        <v>420</v>
      </c>
      <c r="B189" s="763"/>
      <c r="C189" s="765">
        <f t="shared" ref="C189:F189" si="508">C185*C187</f>
        <v>0</v>
      </c>
      <c r="D189" s="765">
        <f t="shared" si="508"/>
        <v>0</v>
      </c>
      <c r="E189" s="765">
        <f t="shared" si="508"/>
        <v>0</v>
      </c>
      <c r="F189" s="765">
        <f t="shared" si="508"/>
        <v>0</v>
      </c>
      <c r="G189" s="906">
        <f>SUM(C189:F189)</f>
        <v>0</v>
      </c>
      <c r="H189" s="765">
        <f t="shared" ref="H189:M189" si="509">H185*H187</f>
        <v>0</v>
      </c>
      <c r="I189" s="765">
        <f t="shared" si="509"/>
        <v>0</v>
      </c>
      <c r="J189" s="765">
        <f t="shared" si="509"/>
        <v>0</v>
      </c>
      <c r="K189" s="765">
        <f t="shared" si="509"/>
        <v>0</v>
      </c>
      <c r="L189" s="765">
        <f t="shared" si="509"/>
        <v>0</v>
      </c>
      <c r="M189" s="765">
        <f t="shared" si="509"/>
        <v>0</v>
      </c>
      <c r="N189" s="765">
        <f t="shared" ref="N189:S189" si="510">N185*N187</f>
        <v>0</v>
      </c>
      <c r="O189" s="765">
        <f t="shared" si="510"/>
        <v>0</v>
      </c>
      <c r="P189" s="765">
        <f t="shared" si="510"/>
        <v>0</v>
      </c>
      <c r="Q189" s="765">
        <f t="shared" si="510"/>
        <v>0</v>
      </c>
      <c r="R189" s="765">
        <f t="shared" si="510"/>
        <v>0</v>
      </c>
      <c r="S189" s="765">
        <f t="shared" si="510"/>
        <v>0</v>
      </c>
      <c r="T189" s="906">
        <f>SUM(H189:S189)</f>
        <v>0</v>
      </c>
      <c r="U189" s="765">
        <f>U185*U187</f>
        <v>0</v>
      </c>
      <c r="V189" s="765">
        <f t="shared" ref="V189:AF189" si="511">V185*V187</f>
        <v>0</v>
      </c>
      <c r="W189" s="765">
        <f t="shared" si="511"/>
        <v>0</v>
      </c>
      <c r="X189" s="765">
        <f t="shared" si="511"/>
        <v>0</v>
      </c>
      <c r="Y189" s="765">
        <f t="shared" si="511"/>
        <v>0</v>
      </c>
      <c r="Z189" s="765">
        <f t="shared" si="511"/>
        <v>0</v>
      </c>
      <c r="AA189" s="765">
        <f t="shared" si="511"/>
        <v>0</v>
      </c>
      <c r="AB189" s="765">
        <f t="shared" si="511"/>
        <v>0</v>
      </c>
      <c r="AC189" s="765">
        <f t="shared" si="511"/>
        <v>0</v>
      </c>
      <c r="AD189" s="765">
        <f t="shared" si="511"/>
        <v>0</v>
      </c>
      <c r="AE189" s="765">
        <f t="shared" si="511"/>
        <v>0</v>
      </c>
      <c r="AF189" s="765">
        <f t="shared" si="511"/>
        <v>0</v>
      </c>
      <c r="AG189" s="906">
        <f>SUM(U189:AF189)</f>
        <v>0</v>
      </c>
      <c r="AH189" s="906">
        <f t="shared" ref="AH189:AO189" si="512">AH185*AH187</f>
        <v>148837.50000000003</v>
      </c>
      <c r="AI189" s="906">
        <f t="shared" si="512"/>
        <v>619164</v>
      </c>
      <c r="AJ189" s="906">
        <f t="shared" si="512"/>
        <v>1434912.5699999998</v>
      </c>
      <c r="AK189" s="906">
        <f t="shared" si="512"/>
        <v>2927221.6428</v>
      </c>
      <c r="AL189" s="906">
        <f t="shared" si="512"/>
        <v>4982239.6516619995</v>
      </c>
      <c r="AM189" s="906">
        <f t="shared" si="512"/>
        <v>6569986.35384</v>
      </c>
      <c r="AN189" s="906">
        <f t="shared" si="512"/>
        <v>7664984.0794800017</v>
      </c>
      <c r="AO189" s="1003">
        <f t="shared" si="512"/>
        <v>8759981.8051200006</v>
      </c>
      <c r="AP189" s="277"/>
    </row>
    <row r="190" spans="1:42" s="18" customFormat="1" ht="13.15" customHeight="1" x14ac:dyDescent="0.2">
      <c r="A190" s="680"/>
      <c r="B190" s="680"/>
      <c r="C190" s="680"/>
      <c r="D190" s="680"/>
      <c r="E190" s="680"/>
      <c r="F190" s="680"/>
      <c r="G190" s="900"/>
      <c r="H190" s="682"/>
      <c r="I190" s="682"/>
      <c r="J190" s="682"/>
      <c r="K190" s="682"/>
      <c r="L190" s="682"/>
      <c r="M190" s="682"/>
      <c r="N190" s="682"/>
      <c r="O190" s="682"/>
      <c r="P190" s="682"/>
      <c r="Q190" s="682"/>
      <c r="R190" s="682"/>
      <c r="S190" s="682"/>
      <c r="T190" s="917"/>
      <c r="U190" s="682"/>
      <c r="V190" s="682"/>
      <c r="W190" s="682"/>
      <c r="X190" s="682"/>
      <c r="Y190" s="682"/>
      <c r="Z190" s="682"/>
      <c r="AA190" s="682"/>
      <c r="AB190" s="682"/>
      <c r="AC190" s="682"/>
      <c r="AD190" s="682"/>
      <c r="AE190" s="682"/>
      <c r="AF190" s="682"/>
      <c r="AG190" s="917"/>
      <c r="AH190" s="917"/>
      <c r="AI190" s="917"/>
      <c r="AJ190" s="917"/>
      <c r="AK190" s="924"/>
      <c r="AL190" s="924"/>
      <c r="AM190" s="924"/>
      <c r="AN190" s="924"/>
      <c r="AO190" s="995"/>
    </row>
    <row r="191" spans="1:42" s="18" customFormat="1" ht="13.15" customHeight="1" x14ac:dyDescent="0.2">
      <c r="A191" s="680"/>
      <c r="B191" s="680"/>
      <c r="C191" s="680"/>
      <c r="D191" s="680"/>
      <c r="E191" s="680"/>
      <c r="F191" s="680"/>
      <c r="G191" s="900"/>
      <c r="H191" s="682"/>
      <c r="I191" s="682"/>
      <c r="J191" s="682"/>
      <c r="K191" s="682"/>
      <c r="L191" s="682"/>
      <c r="M191" s="682"/>
      <c r="N191" s="682"/>
      <c r="O191" s="682"/>
      <c r="P191" s="682"/>
      <c r="Q191" s="682"/>
      <c r="R191" s="682"/>
      <c r="S191" s="682"/>
      <c r="T191" s="917"/>
      <c r="U191" s="682"/>
      <c r="V191" s="682"/>
      <c r="W191" s="682"/>
      <c r="X191" s="682"/>
      <c r="Y191" s="682"/>
      <c r="Z191" s="682"/>
      <c r="AA191" s="682"/>
      <c r="AB191" s="682"/>
      <c r="AC191" s="682"/>
      <c r="AD191" s="682"/>
      <c r="AE191" s="682"/>
      <c r="AF191" s="682"/>
      <c r="AG191" s="917"/>
      <c r="AH191" s="917"/>
      <c r="AI191" s="917"/>
      <c r="AJ191" s="917"/>
      <c r="AK191" s="924"/>
      <c r="AL191" s="924"/>
      <c r="AM191" s="924"/>
      <c r="AN191" s="924"/>
      <c r="AO191" s="995"/>
    </row>
    <row r="192" spans="1:42" s="18" customFormat="1" ht="13.15" customHeight="1" x14ac:dyDescent="0.2">
      <c r="A192" s="676" t="s">
        <v>447</v>
      </c>
      <c r="B192" s="676"/>
      <c r="C192" s="676"/>
      <c r="D192" s="676"/>
      <c r="E192" s="676"/>
      <c r="F192" s="676"/>
      <c r="G192" s="898"/>
      <c r="H192" s="678"/>
      <c r="I192" s="678"/>
      <c r="J192" s="678"/>
      <c r="K192" s="678"/>
      <c r="L192" s="678"/>
      <c r="M192" s="678"/>
      <c r="N192" s="678"/>
      <c r="O192" s="678"/>
      <c r="P192" s="678"/>
      <c r="Q192" s="678"/>
      <c r="R192" s="678"/>
      <c r="S192" s="678"/>
      <c r="T192" s="915"/>
      <c r="U192" s="678"/>
      <c r="V192" s="678"/>
      <c r="W192" s="678"/>
      <c r="X192" s="678"/>
      <c r="Y192" s="678"/>
      <c r="Z192" s="678"/>
      <c r="AA192" s="678"/>
      <c r="AB192" s="678"/>
      <c r="AC192" s="678"/>
      <c r="AD192" s="678"/>
      <c r="AE192" s="678"/>
      <c r="AF192" s="678"/>
      <c r="AG192" s="915"/>
      <c r="AH192" s="915"/>
      <c r="AI192" s="915"/>
      <c r="AJ192" s="915"/>
      <c r="AK192" s="924"/>
      <c r="AL192" s="924"/>
      <c r="AM192" s="924"/>
      <c r="AN192" s="924"/>
      <c r="AO192" s="995"/>
    </row>
    <row r="193" spans="1:42" s="18" customFormat="1" ht="13.15" customHeight="1" x14ac:dyDescent="0.2">
      <c r="A193" s="674" t="s">
        <v>250</v>
      </c>
      <c r="B193" s="674"/>
      <c r="C193" s="690">
        <f>$G193/12</f>
        <v>5000</v>
      </c>
      <c r="D193" s="690">
        <f t="shared" ref="D193:F193" si="513">$G193/12</f>
        <v>5000</v>
      </c>
      <c r="E193" s="690">
        <f t="shared" si="513"/>
        <v>5000</v>
      </c>
      <c r="F193" s="690">
        <f t="shared" si="513"/>
        <v>5000</v>
      </c>
      <c r="G193" s="899">
        <v>60000</v>
      </c>
      <c r="H193" s="690">
        <f t="shared" ref="H193:M193" si="514">$T193/12</f>
        <v>5000</v>
      </c>
      <c r="I193" s="690">
        <f t="shared" si="514"/>
        <v>5000</v>
      </c>
      <c r="J193" s="690">
        <f t="shared" si="514"/>
        <v>5000</v>
      </c>
      <c r="K193" s="690">
        <f t="shared" si="514"/>
        <v>5000</v>
      </c>
      <c r="L193" s="690">
        <f t="shared" si="514"/>
        <v>5000</v>
      </c>
      <c r="M193" s="690">
        <f t="shared" si="514"/>
        <v>5000</v>
      </c>
      <c r="N193" s="690">
        <f t="shared" ref="N193:S193" si="515">$T193/12</f>
        <v>5000</v>
      </c>
      <c r="O193" s="690">
        <f t="shared" si="515"/>
        <v>5000</v>
      </c>
      <c r="P193" s="690">
        <f t="shared" si="515"/>
        <v>5000</v>
      </c>
      <c r="Q193" s="690">
        <f t="shared" si="515"/>
        <v>5000</v>
      </c>
      <c r="R193" s="690">
        <f t="shared" si="515"/>
        <v>5000</v>
      </c>
      <c r="S193" s="690">
        <f t="shared" si="515"/>
        <v>5000</v>
      </c>
      <c r="T193" s="899">
        <v>60000</v>
      </c>
      <c r="U193" s="690">
        <f>$AG193/12</f>
        <v>5250</v>
      </c>
      <c r="V193" s="690">
        <f t="shared" ref="V193:AF193" si="516">$AG193/12</f>
        <v>5250</v>
      </c>
      <c r="W193" s="690">
        <f t="shared" si="516"/>
        <v>5250</v>
      </c>
      <c r="X193" s="690">
        <f t="shared" si="516"/>
        <v>5250</v>
      </c>
      <c r="Y193" s="690">
        <f t="shared" si="516"/>
        <v>5250</v>
      </c>
      <c r="Z193" s="690">
        <f t="shared" si="516"/>
        <v>5250</v>
      </c>
      <c r="AA193" s="690">
        <f t="shared" si="516"/>
        <v>5250</v>
      </c>
      <c r="AB193" s="690">
        <f t="shared" si="516"/>
        <v>5250</v>
      </c>
      <c r="AC193" s="690">
        <f t="shared" si="516"/>
        <v>5250</v>
      </c>
      <c r="AD193" s="690">
        <f t="shared" si="516"/>
        <v>5250</v>
      </c>
      <c r="AE193" s="690">
        <f t="shared" si="516"/>
        <v>5250</v>
      </c>
      <c r="AF193" s="690">
        <f t="shared" si="516"/>
        <v>5250</v>
      </c>
      <c r="AG193" s="902">
        <f>T193*(1+AG194)</f>
        <v>63000</v>
      </c>
      <c r="AH193" s="902">
        <f t="shared" ref="AH193:AO193" si="517">AG193*(1+AH194)</f>
        <v>66150</v>
      </c>
      <c r="AI193" s="902">
        <f t="shared" si="517"/>
        <v>68796</v>
      </c>
      <c r="AJ193" s="902">
        <f t="shared" si="517"/>
        <v>70859.88</v>
      </c>
      <c r="AK193" s="902">
        <f t="shared" si="517"/>
        <v>72277.077600000004</v>
      </c>
      <c r="AL193" s="902">
        <f t="shared" si="517"/>
        <v>72999.848376000009</v>
      </c>
      <c r="AM193" s="902">
        <f t="shared" si="517"/>
        <v>72999.848376000009</v>
      </c>
      <c r="AN193" s="902">
        <f t="shared" si="517"/>
        <v>72999.848376000009</v>
      </c>
      <c r="AO193" s="996">
        <f t="shared" si="517"/>
        <v>72999.848376000009</v>
      </c>
    </row>
    <row r="194" spans="1:42" s="987" customFormat="1" ht="13.15" customHeight="1" x14ac:dyDescent="0.2">
      <c r="A194" s="680" t="s">
        <v>324</v>
      </c>
      <c r="B194" s="680"/>
      <c r="C194" s="687"/>
      <c r="D194" s="687"/>
      <c r="E194" s="687"/>
      <c r="F194" s="687"/>
      <c r="G194" s="900"/>
      <c r="H194" s="687"/>
      <c r="I194" s="687"/>
      <c r="J194" s="687"/>
      <c r="K194" s="687"/>
      <c r="L194" s="687"/>
      <c r="M194" s="687"/>
      <c r="N194" s="687"/>
      <c r="O194" s="687"/>
      <c r="P194" s="687"/>
      <c r="Q194" s="687"/>
      <c r="R194" s="687"/>
      <c r="S194" s="687"/>
      <c r="T194" s="916"/>
      <c r="U194" s="687"/>
      <c r="V194" s="687"/>
      <c r="W194" s="687"/>
      <c r="X194" s="687"/>
      <c r="Y194" s="687"/>
      <c r="Z194" s="687"/>
      <c r="AA194" s="687"/>
      <c r="AB194" s="687"/>
      <c r="AC194" s="687"/>
      <c r="AD194" s="687"/>
      <c r="AE194" s="687"/>
      <c r="AF194" s="687"/>
      <c r="AG194" s="921">
        <v>0.05</v>
      </c>
      <c r="AH194" s="921">
        <v>0.05</v>
      </c>
      <c r="AI194" s="921">
        <f>AH194-1%</f>
        <v>0.04</v>
      </c>
      <c r="AJ194" s="921">
        <f>AI194-1%</f>
        <v>0.03</v>
      </c>
      <c r="AK194" s="921">
        <f>AJ194-1%</f>
        <v>1.9999999999999997E-2</v>
      </c>
      <c r="AL194" s="921">
        <f>AK194-1%</f>
        <v>9.9999999999999967E-3</v>
      </c>
      <c r="AM194" s="921">
        <f>AL194-1%</f>
        <v>0</v>
      </c>
      <c r="AN194" s="925">
        <f>AM194</f>
        <v>0</v>
      </c>
      <c r="AO194" s="997">
        <f>AN194</f>
        <v>0</v>
      </c>
    </row>
    <row r="195" spans="1:42" s="987" customFormat="1" ht="13.15" customHeight="1" x14ac:dyDescent="0.2">
      <c r="A195" s="680" t="s">
        <v>248</v>
      </c>
      <c r="B195" s="680"/>
      <c r="C195" s="687">
        <f t="shared" ref="C195:F195" si="518">C168</f>
        <v>0</v>
      </c>
      <c r="D195" s="687">
        <f t="shared" si="518"/>
        <v>0</v>
      </c>
      <c r="E195" s="687">
        <f t="shared" si="518"/>
        <v>0</v>
      </c>
      <c r="F195" s="687">
        <f t="shared" si="518"/>
        <v>0</v>
      </c>
      <c r="G195" s="900">
        <f>F195</f>
        <v>0</v>
      </c>
      <c r="H195" s="687">
        <f t="shared" ref="H195:M195" si="519">H168</f>
        <v>0</v>
      </c>
      <c r="I195" s="687">
        <f t="shared" si="519"/>
        <v>0</v>
      </c>
      <c r="J195" s="687">
        <f t="shared" si="519"/>
        <v>0</v>
      </c>
      <c r="K195" s="687">
        <f t="shared" si="519"/>
        <v>0</v>
      </c>
      <c r="L195" s="687">
        <f t="shared" si="519"/>
        <v>0</v>
      </c>
      <c r="M195" s="687">
        <f t="shared" si="519"/>
        <v>0</v>
      </c>
      <c r="N195" s="687">
        <f t="shared" ref="N195:S195" si="520">N168</f>
        <v>0</v>
      </c>
      <c r="O195" s="687">
        <f t="shared" si="520"/>
        <v>0</v>
      </c>
      <c r="P195" s="687">
        <f t="shared" si="520"/>
        <v>0</v>
      </c>
      <c r="Q195" s="687">
        <f t="shared" si="520"/>
        <v>0</v>
      </c>
      <c r="R195" s="687">
        <f t="shared" si="520"/>
        <v>0</v>
      </c>
      <c r="S195" s="687">
        <f t="shared" si="520"/>
        <v>0</v>
      </c>
      <c r="T195" s="916">
        <f>S195</f>
        <v>0</v>
      </c>
      <c r="U195" s="687">
        <f>U168</f>
        <v>0</v>
      </c>
      <c r="V195" s="687">
        <f t="shared" ref="V195:AF195" si="521">V168</f>
        <v>0</v>
      </c>
      <c r="W195" s="687">
        <f t="shared" si="521"/>
        <v>0</v>
      </c>
      <c r="X195" s="687">
        <f t="shared" si="521"/>
        <v>0</v>
      </c>
      <c r="Y195" s="687">
        <f t="shared" si="521"/>
        <v>0</v>
      </c>
      <c r="Z195" s="687">
        <f t="shared" si="521"/>
        <v>0</v>
      </c>
      <c r="AA195" s="687">
        <f t="shared" si="521"/>
        <v>0</v>
      </c>
      <c r="AB195" s="687">
        <f t="shared" si="521"/>
        <v>0</v>
      </c>
      <c r="AC195" s="687">
        <f t="shared" si="521"/>
        <v>0</v>
      </c>
      <c r="AD195" s="687">
        <f t="shared" si="521"/>
        <v>0</v>
      </c>
      <c r="AE195" s="687">
        <f t="shared" si="521"/>
        <v>0</v>
      </c>
      <c r="AF195" s="687">
        <f t="shared" si="521"/>
        <v>0</v>
      </c>
      <c r="AG195" s="916">
        <f>AF195</f>
        <v>0</v>
      </c>
      <c r="AH195" s="921">
        <f t="shared" ref="AH195:AO195" si="522">AH168</f>
        <v>6.0000000000000001E-3</v>
      </c>
      <c r="AI195" s="921">
        <f t="shared" si="522"/>
        <v>1.7999999999999999E-2</v>
      </c>
      <c r="AJ195" s="921">
        <f t="shared" si="522"/>
        <v>3.5999999999999997E-2</v>
      </c>
      <c r="AK195" s="921">
        <f t="shared" si="522"/>
        <v>7.1999999999999995E-2</v>
      </c>
      <c r="AL195" s="921">
        <f t="shared" si="522"/>
        <v>0.11</v>
      </c>
      <c r="AM195" s="921">
        <f t="shared" si="522"/>
        <v>0.13</v>
      </c>
      <c r="AN195" s="921">
        <f t="shared" si="522"/>
        <v>0.15</v>
      </c>
      <c r="AO195" s="1004">
        <f t="shared" si="522"/>
        <v>0.17</v>
      </c>
    </row>
    <row r="196" spans="1:42" s="18" customFormat="1" ht="13.15" customHeight="1" x14ac:dyDescent="0.2">
      <c r="A196" s="680" t="s">
        <v>251</v>
      </c>
      <c r="B196" s="680"/>
      <c r="C196" s="690">
        <f t="shared" ref="C196:F196" si="523">C193*C195</f>
        <v>0</v>
      </c>
      <c r="D196" s="690">
        <f t="shared" si="523"/>
        <v>0</v>
      </c>
      <c r="E196" s="690">
        <f t="shared" si="523"/>
        <v>0</v>
      </c>
      <c r="F196" s="690">
        <f t="shared" si="523"/>
        <v>0</v>
      </c>
      <c r="G196" s="902">
        <f>SUM(C196:F196)</f>
        <v>0</v>
      </c>
      <c r="H196" s="690">
        <f t="shared" ref="H196:M196" si="524">H193*H195</f>
        <v>0</v>
      </c>
      <c r="I196" s="690">
        <f t="shared" si="524"/>
        <v>0</v>
      </c>
      <c r="J196" s="690">
        <f t="shared" si="524"/>
        <v>0</v>
      </c>
      <c r="K196" s="690">
        <f t="shared" si="524"/>
        <v>0</v>
      </c>
      <c r="L196" s="690">
        <f t="shared" si="524"/>
        <v>0</v>
      </c>
      <c r="M196" s="690">
        <f t="shared" si="524"/>
        <v>0</v>
      </c>
      <c r="N196" s="690">
        <f t="shared" ref="N196:S196" si="525">N193*N195</f>
        <v>0</v>
      </c>
      <c r="O196" s="690">
        <f t="shared" si="525"/>
        <v>0</v>
      </c>
      <c r="P196" s="690">
        <f t="shared" si="525"/>
        <v>0</v>
      </c>
      <c r="Q196" s="690">
        <f t="shared" si="525"/>
        <v>0</v>
      </c>
      <c r="R196" s="690">
        <f t="shared" si="525"/>
        <v>0</v>
      </c>
      <c r="S196" s="690">
        <f t="shared" si="525"/>
        <v>0</v>
      </c>
      <c r="T196" s="917">
        <f>SUM(H196:S196)</f>
        <v>0</v>
      </c>
      <c r="U196" s="690">
        <f t="shared" ref="U196:AF196" si="526">U193*U195</f>
        <v>0</v>
      </c>
      <c r="V196" s="690">
        <f t="shared" si="526"/>
        <v>0</v>
      </c>
      <c r="W196" s="690">
        <f t="shared" si="526"/>
        <v>0</v>
      </c>
      <c r="X196" s="690">
        <f t="shared" si="526"/>
        <v>0</v>
      </c>
      <c r="Y196" s="690">
        <f t="shared" si="526"/>
        <v>0</v>
      </c>
      <c r="Z196" s="690">
        <f t="shared" si="526"/>
        <v>0</v>
      </c>
      <c r="AA196" s="690">
        <f t="shared" si="526"/>
        <v>0</v>
      </c>
      <c r="AB196" s="690">
        <f t="shared" si="526"/>
        <v>0</v>
      </c>
      <c r="AC196" s="690">
        <f t="shared" si="526"/>
        <v>0</v>
      </c>
      <c r="AD196" s="690">
        <f t="shared" si="526"/>
        <v>0</v>
      </c>
      <c r="AE196" s="690">
        <f t="shared" si="526"/>
        <v>0</v>
      </c>
      <c r="AF196" s="690">
        <f t="shared" si="526"/>
        <v>0</v>
      </c>
      <c r="AG196" s="902">
        <f>SUM(U196:AF196)</f>
        <v>0</v>
      </c>
      <c r="AH196" s="902">
        <f>AH193*AVERAGE(AF195,AH195)</f>
        <v>198.45000000000002</v>
      </c>
      <c r="AI196" s="902">
        <f t="shared" ref="AI196:AO196" si="527">AI193*AVERAGE(AH195,AI195)</f>
        <v>825.55200000000002</v>
      </c>
      <c r="AJ196" s="902">
        <f t="shared" si="527"/>
        <v>1913.2167599999998</v>
      </c>
      <c r="AK196" s="902">
        <f t="shared" si="527"/>
        <v>3902.9621903999996</v>
      </c>
      <c r="AL196" s="902">
        <f t="shared" si="527"/>
        <v>6642.9862022160005</v>
      </c>
      <c r="AM196" s="902">
        <f t="shared" si="527"/>
        <v>8759.98180512</v>
      </c>
      <c r="AN196" s="902">
        <f t="shared" si="527"/>
        <v>10219.978772640003</v>
      </c>
      <c r="AO196" s="996">
        <f t="shared" si="527"/>
        <v>11679.975740160002</v>
      </c>
    </row>
    <row r="197" spans="1:42" s="18" customFormat="1" ht="13.15" customHeight="1" x14ac:dyDescent="0.2">
      <c r="A197" s="680" t="s">
        <v>249</v>
      </c>
      <c r="B197" s="680"/>
      <c r="C197" s="686">
        <v>2</v>
      </c>
      <c r="D197" s="686">
        <f>C197</f>
        <v>2</v>
      </c>
      <c r="E197" s="686">
        <f t="shared" ref="E197:F197" si="528">D197</f>
        <v>2</v>
      </c>
      <c r="F197" s="686">
        <f t="shared" si="528"/>
        <v>2</v>
      </c>
      <c r="G197" s="903">
        <f>F197</f>
        <v>2</v>
      </c>
      <c r="H197" s="686">
        <f>F197</f>
        <v>2</v>
      </c>
      <c r="I197" s="686">
        <f>H197</f>
        <v>2</v>
      </c>
      <c r="J197" s="686">
        <f t="shared" ref="J197:S197" si="529">I197</f>
        <v>2</v>
      </c>
      <c r="K197" s="686">
        <f t="shared" si="529"/>
        <v>2</v>
      </c>
      <c r="L197" s="686">
        <f t="shared" si="529"/>
        <v>2</v>
      </c>
      <c r="M197" s="686">
        <f t="shared" si="529"/>
        <v>2</v>
      </c>
      <c r="N197" s="686">
        <f t="shared" si="529"/>
        <v>2</v>
      </c>
      <c r="O197" s="686">
        <f t="shared" si="529"/>
        <v>2</v>
      </c>
      <c r="P197" s="686">
        <f t="shared" si="529"/>
        <v>2</v>
      </c>
      <c r="Q197" s="686">
        <f t="shared" si="529"/>
        <v>2</v>
      </c>
      <c r="R197" s="686">
        <f t="shared" si="529"/>
        <v>2</v>
      </c>
      <c r="S197" s="686">
        <f t="shared" si="529"/>
        <v>2</v>
      </c>
      <c r="T197" s="903">
        <f t="shared" ref="T197" si="530">S197</f>
        <v>2</v>
      </c>
      <c r="U197" s="686">
        <f>S197</f>
        <v>2</v>
      </c>
      <c r="V197" s="686">
        <f t="shared" ref="V197:AG197" si="531">U197</f>
        <v>2</v>
      </c>
      <c r="W197" s="686">
        <f t="shared" si="531"/>
        <v>2</v>
      </c>
      <c r="X197" s="686">
        <f t="shared" si="531"/>
        <v>2</v>
      </c>
      <c r="Y197" s="686">
        <f t="shared" si="531"/>
        <v>2</v>
      </c>
      <c r="Z197" s="686">
        <f t="shared" si="531"/>
        <v>2</v>
      </c>
      <c r="AA197" s="686">
        <f t="shared" si="531"/>
        <v>2</v>
      </c>
      <c r="AB197" s="686">
        <f t="shared" si="531"/>
        <v>2</v>
      </c>
      <c r="AC197" s="686">
        <f t="shared" si="531"/>
        <v>2</v>
      </c>
      <c r="AD197" s="686">
        <f t="shared" si="531"/>
        <v>2</v>
      </c>
      <c r="AE197" s="686">
        <f t="shared" si="531"/>
        <v>2</v>
      </c>
      <c r="AF197" s="686">
        <f t="shared" si="531"/>
        <v>2</v>
      </c>
      <c r="AG197" s="919">
        <f t="shared" si="531"/>
        <v>2</v>
      </c>
      <c r="AH197" s="919">
        <f>AF197</f>
        <v>2</v>
      </c>
      <c r="AI197" s="919">
        <f t="shared" ref="AI197:AO197" si="532">AH197</f>
        <v>2</v>
      </c>
      <c r="AJ197" s="919">
        <f t="shared" si="532"/>
        <v>2</v>
      </c>
      <c r="AK197" s="919">
        <f t="shared" si="532"/>
        <v>2</v>
      </c>
      <c r="AL197" s="919">
        <f t="shared" si="532"/>
        <v>2</v>
      </c>
      <c r="AM197" s="919">
        <f t="shared" si="532"/>
        <v>2</v>
      </c>
      <c r="AN197" s="919">
        <f t="shared" si="532"/>
        <v>2</v>
      </c>
      <c r="AO197" s="998">
        <f t="shared" si="532"/>
        <v>2</v>
      </c>
    </row>
    <row r="198" spans="1:42" s="18" customFormat="1" ht="13.15" customHeight="1" x14ac:dyDescent="0.2">
      <c r="A198" s="680" t="s">
        <v>255</v>
      </c>
      <c r="B198" s="680"/>
      <c r="C198" s="690">
        <f t="shared" ref="C198:F198" si="533">C196*C197</f>
        <v>0</v>
      </c>
      <c r="D198" s="690">
        <f t="shared" si="533"/>
        <v>0</v>
      </c>
      <c r="E198" s="690">
        <f t="shared" si="533"/>
        <v>0</v>
      </c>
      <c r="F198" s="690">
        <f t="shared" si="533"/>
        <v>0</v>
      </c>
      <c r="G198" s="902">
        <f>SUM(C198:F198)</f>
        <v>0</v>
      </c>
      <c r="H198" s="690">
        <f t="shared" ref="H198:M198" si="534">H196*H197</f>
        <v>0</v>
      </c>
      <c r="I198" s="690">
        <f t="shared" si="534"/>
        <v>0</v>
      </c>
      <c r="J198" s="690">
        <f t="shared" si="534"/>
        <v>0</v>
      </c>
      <c r="K198" s="690">
        <f t="shared" si="534"/>
        <v>0</v>
      </c>
      <c r="L198" s="690">
        <f t="shared" si="534"/>
        <v>0</v>
      </c>
      <c r="M198" s="690">
        <f t="shared" si="534"/>
        <v>0</v>
      </c>
      <c r="N198" s="690">
        <f t="shared" ref="N198:S198" si="535">N196*N197</f>
        <v>0</v>
      </c>
      <c r="O198" s="690">
        <f t="shared" si="535"/>
        <v>0</v>
      </c>
      <c r="P198" s="690">
        <f t="shared" si="535"/>
        <v>0</v>
      </c>
      <c r="Q198" s="690">
        <f t="shared" si="535"/>
        <v>0</v>
      </c>
      <c r="R198" s="690">
        <f t="shared" si="535"/>
        <v>0</v>
      </c>
      <c r="S198" s="690">
        <f t="shared" si="535"/>
        <v>0</v>
      </c>
      <c r="T198" s="918">
        <f>SUM(H198:S198)</f>
        <v>0</v>
      </c>
      <c r="U198" s="690">
        <f t="shared" ref="U198:AF198" si="536">U196*U197</f>
        <v>0</v>
      </c>
      <c r="V198" s="690">
        <f t="shared" si="536"/>
        <v>0</v>
      </c>
      <c r="W198" s="690">
        <f t="shared" si="536"/>
        <v>0</v>
      </c>
      <c r="X198" s="690">
        <f t="shared" si="536"/>
        <v>0</v>
      </c>
      <c r="Y198" s="690">
        <f t="shared" si="536"/>
        <v>0</v>
      </c>
      <c r="Z198" s="690">
        <f t="shared" si="536"/>
        <v>0</v>
      </c>
      <c r="AA198" s="690">
        <f t="shared" si="536"/>
        <v>0</v>
      </c>
      <c r="AB198" s="690">
        <f t="shared" si="536"/>
        <v>0</v>
      </c>
      <c r="AC198" s="690">
        <f t="shared" si="536"/>
        <v>0</v>
      </c>
      <c r="AD198" s="690">
        <f t="shared" si="536"/>
        <v>0</v>
      </c>
      <c r="AE198" s="690">
        <f t="shared" si="536"/>
        <v>0</v>
      </c>
      <c r="AF198" s="690">
        <f t="shared" si="536"/>
        <v>0</v>
      </c>
      <c r="AG198" s="918">
        <f>SUM(U198:AF198)</f>
        <v>0</v>
      </c>
      <c r="AH198" s="902">
        <f t="shared" ref="AH198:AO198" si="537">AH196*AH197</f>
        <v>396.90000000000003</v>
      </c>
      <c r="AI198" s="902">
        <f t="shared" si="537"/>
        <v>1651.104</v>
      </c>
      <c r="AJ198" s="902">
        <f t="shared" si="537"/>
        <v>3826.4335199999996</v>
      </c>
      <c r="AK198" s="902">
        <f t="shared" si="537"/>
        <v>7805.9243807999992</v>
      </c>
      <c r="AL198" s="902">
        <f t="shared" si="537"/>
        <v>13285.972404432001</v>
      </c>
      <c r="AM198" s="902">
        <f t="shared" si="537"/>
        <v>17519.96361024</v>
      </c>
      <c r="AN198" s="902">
        <f t="shared" si="537"/>
        <v>20439.957545280005</v>
      </c>
      <c r="AO198" s="996">
        <f t="shared" si="537"/>
        <v>23359.951480320004</v>
      </c>
    </row>
    <row r="199" spans="1:42" s="34" customFormat="1" ht="12.4" customHeight="1" x14ac:dyDescent="0.2">
      <c r="A199" s="1"/>
      <c r="B199" s="1"/>
      <c r="C199" s="1"/>
      <c r="D199" s="1"/>
      <c r="E199" s="1"/>
      <c r="F199" s="1"/>
      <c r="G199" s="26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6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268"/>
      <c r="AH199" s="268"/>
      <c r="AI199" s="268"/>
      <c r="AJ199" s="268"/>
      <c r="AK199" s="268"/>
      <c r="AL199" s="268"/>
      <c r="AM199" s="268"/>
      <c r="AN199" s="268"/>
      <c r="AO199" s="999"/>
      <c r="AP199" s="18"/>
    </row>
    <row r="200" spans="1:42" s="18" customFormat="1" ht="13.15" customHeight="1" x14ac:dyDescent="0.2">
      <c r="A200" s="680" t="s">
        <v>253</v>
      </c>
      <c r="B200" s="680"/>
      <c r="C200" s="689">
        <v>0</v>
      </c>
      <c r="D200" s="689">
        <v>0</v>
      </c>
      <c r="E200" s="689">
        <v>0</v>
      </c>
      <c r="F200" s="689">
        <v>0</v>
      </c>
      <c r="G200" s="902">
        <f>F200</f>
        <v>0</v>
      </c>
      <c r="H200" s="689">
        <v>0</v>
      </c>
      <c r="I200" s="689">
        <v>0</v>
      </c>
      <c r="J200" s="689">
        <v>0</v>
      </c>
      <c r="K200" s="689">
        <v>0</v>
      </c>
      <c r="L200" s="689">
        <v>0</v>
      </c>
      <c r="M200" s="689">
        <v>0</v>
      </c>
      <c r="N200" s="689">
        <v>0</v>
      </c>
      <c r="O200" s="689">
        <v>0</v>
      </c>
      <c r="P200" s="689">
        <v>0</v>
      </c>
      <c r="Q200" s="689">
        <v>0</v>
      </c>
      <c r="R200" s="689">
        <v>0</v>
      </c>
      <c r="S200" s="689">
        <v>0</v>
      </c>
      <c r="T200" s="902">
        <f>S200</f>
        <v>0</v>
      </c>
      <c r="U200" s="689">
        <f>S200</f>
        <v>0</v>
      </c>
      <c r="V200" s="689">
        <f t="shared" ref="V200:AG200" si="538">U200</f>
        <v>0</v>
      </c>
      <c r="W200" s="689">
        <f t="shared" si="538"/>
        <v>0</v>
      </c>
      <c r="X200" s="689">
        <f t="shared" si="538"/>
        <v>0</v>
      </c>
      <c r="Y200" s="689">
        <f t="shared" si="538"/>
        <v>0</v>
      </c>
      <c r="Z200" s="689">
        <f t="shared" si="538"/>
        <v>0</v>
      </c>
      <c r="AA200" s="689">
        <f t="shared" si="538"/>
        <v>0</v>
      </c>
      <c r="AB200" s="689">
        <f t="shared" si="538"/>
        <v>0</v>
      </c>
      <c r="AC200" s="689">
        <f t="shared" si="538"/>
        <v>0</v>
      </c>
      <c r="AD200" s="689">
        <f t="shared" si="538"/>
        <v>0</v>
      </c>
      <c r="AE200" s="689">
        <f t="shared" si="538"/>
        <v>0</v>
      </c>
      <c r="AF200" s="689">
        <f t="shared" si="538"/>
        <v>0</v>
      </c>
      <c r="AG200" s="902">
        <f t="shared" si="538"/>
        <v>0</v>
      </c>
      <c r="AH200" s="899">
        <f>AF200</f>
        <v>0</v>
      </c>
      <c r="AI200" s="899">
        <f t="shared" ref="AI200:AO200" si="539">AH200</f>
        <v>0</v>
      </c>
      <c r="AJ200" s="899">
        <f t="shared" si="539"/>
        <v>0</v>
      </c>
      <c r="AK200" s="899">
        <f t="shared" si="539"/>
        <v>0</v>
      </c>
      <c r="AL200" s="899">
        <f t="shared" si="539"/>
        <v>0</v>
      </c>
      <c r="AM200" s="899">
        <f t="shared" si="539"/>
        <v>0</v>
      </c>
      <c r="AN200" s="899">
        <f t="shared" si="539"/>
        <v>0</v>
      </c>
      <c r="AO200" s="1000">
        <f t="shared" si="539"/>
        <v>0</v>
      </c>
    </row>
    <row r="201" spans="1:42" s="18" customFormat="1" ht="13.15" customHeight="1" x14ac:dyDescent="0.2">
      <c r="A201" s="680" t="s">
        <v>252</v>
      </c>
      <c r="B201" s="680"/>
      <c r="C201" s="689">
        <v>0</v>
      </c>
      <c r="D201" s="689">
        <v>0</v>
      </c>
      <c r="E201" s="689">
        <v>0</v>
      </c>
      <c r="F201" s="689">
        <v>0</v>
      </c>
      <c r="G201" s="902">
        <f>SUM(C201:F201)</f>
        <v>0</v>
      </c>
      <c r="H201" s="689">
        <v>0</v>
      </c>
      <c r="I201" s="689">
        <v>0</v>
      </c>
      <c r="J201" s="689">
        <v>0</v>
      </c>
      <c r="K201" s="689">
        <v>0</v>
      </c>
      <c r="L201" s="689">
        <v>0</v>
      </c>
      <c r="M201" s="689">
        <v>0</v>
      </c>
      <c r="N201" s="689">
        <f t="shared" ref="N201:S201" si="540">100/12</f>
        <v>8.3333333333333339</v>
      </c>
      <c r="O201" s="689">
        <f t="shared" si="540"/>
        <v>8.3333333333333339</v>
      </c>
      <c r="P201" s="689">
        <f t="shared" si="540"/>
        <v>8.3333333333333339</v>
      </c>
      <c r="Q201" s="689">
        <f t="shared" si="540"/>
        <v>8.3333333333333339</v>
      </c>
      <c r="R201" s="689">
        <f t="shared" si="540"/>
        <v>8.3333333333333339</v>
      </c>
      <c r="S201" s="689">
        <f t="shared" si="540"/>
        <v>8.3333333333333339</v>
      </c>
      <c r="T201" s="917">
        <f>SUM(H201:S201)</f>
        <v>50.000000000000007</v>
      </c>
      <c r="U201" s="689">
        <f t="shared" ref="U201:AF201" si="541">100/12</f>
        <v>8.3333333333333339</v>
      </c>
      <c r="V201" s="689">
        <f t="shared" si="541"/>
        <v>8.3333333333333339</v>
      </c>
      <c r="W201" s="689">
        <f t="shared" si="541"/>
        <v>8.3333333333333339</v>
      </c>
      <c r="X201" s="689">
        <f t="shared" si="541"/>
        <v>8.3333333333333339</v>
      </c>
      <c r="Y201" s="689">
        <f t="shared" si="541"/>
        <v>8.3333333333333339</v>
      </c>
      <c r="Z201" s="689">
        <f t="shared" si="541"/>
        <v>8.3333333333333339</v>
      </c>
      <c r="AA201" s="689">
        <f t="shared" si="541"/>
        <v>8.3333333333333339</v>
      </c>
      <c r="AB201" s="689">
        <f t="shared" si="541"/>
        <v>8.3333333333333339</v>
      </c>
      <c r="AC201" s="689">
        <f t="shared" si="541"/>
        <v>8.3333333333333339</v>
      </c>
      <c r="AD201" s="689">
        <f t="shared" si="541"/>
        <v>8.3333333333333339</v>
      </c>
      <c r="AE201" s="689">
        <f t="shared" si="541"/>
        <v>8.3333333333333339</v>
      </c>
      <c r="AF201" s="689">
        <f t="shared" si="541"/>
        <v>8.3333333333333339</v>
      </c>
      <c r="AG201" s="917">
        <f>SUM(U201:AF201)</f>
        <v>99.999999999999986</v>
      </c>
      <c r="AH201" s="899">
        <v>100</v>
      </c>
      <c r="AI201" s="899">
        <v>100</v>
      </c>
      <c r="AJ201" s="899">
        <v>100</v>
      </c>
      <c r="AK201" s="899">
        <v>100</v>
      </c>
      <c r="AL201" s="899">
        <v>100</v>
      </c>
      <c r="AM201" s="899">
        <v>100</v>
      </c>
      <c r="AN201" s="899">
        <v>100</v>
      </c>
      <c r="AO201" s="1000">
        <v>100</v>
      </c>
    </row>
    <row r="202" spans="1:42" s="18" customFormat="1" ht="13.15" customHeight="1" x14ac:dyDescent="0.2">
      <c r="A202" s="680" t="s">
        <v>254</v>
      </c>
      <c r="B202" s="680"/>
      <c r="C202" s="690">
        <f t="shared" ref="C202:F202" si="542">C200*C201</f>
        <v>0</v>
      </c>
      <c r="D202" s="690">
        <f t="shared" si="542"/>
        <v>0</v>
      </c>
      <c r="E202" s="690">
        <f t="shared" si="542"/>
        <v>0</v>
      </c>
      <c r="F202" s="690">
        <f t="shared" si="542"/>
        <v>0</v>
      </c>
      <c r="G202" s="902">
        <f>SUM(C202:F202)</f>
        <v>0</v>
      </c>
      <c r="H202" s="690">
        <f t="shared" ref="H202:M202" si="543">H200*H201</f>
        <v>0</v>
      </c>
      <c r="I202" s="690">
        <f t="shared" si="543"/>
        <v>0</v>
      </c>
      <c r="J202" s="690">
        <f t="shared" si="543"/>
        <v>0</v>
      </c>
      <c r="K202" s="690">
        <f t="shared" si="543"/>
        <v>0</v>
      </c>
      <c r="L202" s="690">
        <f t="shared" si="543"/>
        <v>0</v>
      </c>
      <c r="M202" s="690">
        <f t="shared" si="543"/>
        <v>0</v>
      </c>
      <c r="N202" s="690">
        <f t="shared" ref="N202:S202" si="544">N200*N201</f>
        <v>0</v>
      </c>
      <c r="O202" s="690">
        <f t="shared" si="544"/>
        <v>0</v>
      </c>
      <c r="P202" s="690">
        <f t="shared" si="544"/>
        <v>0</v>
      </c>
      <c r="Q202" s="690">
        <f t="shared" si="544"/>
        <v>0</v>
      </c>
      <c r="R202" s="690">
        <f t="shared" si="544"/>
        <v>0</v>
      </c>
      <c r="S202" s="690">
        <f t="shared" si="544"/>
        <v>0</v>
      </c>
      <c r="T202" s="917">
        <f>SUM(H202:S202)</f>
        <v>0</v>
      </c>
      <c r="U202" s="690">
        <f t="shared" ref="U202:AF202" si="545">U200*U201</f>
        <v>0</v>
      </c>
      <c r="V202" s="690">
        <f t="shared" si="545"/>
        <v>0</v>
      </c>
      <c r="W202" s="690">
        <f t="shared" si="545"/>
        <v>0</v>
      </c>
      <c r="X202" s="690">
        <f t="shared" si="545"/>
        <v>0</v>
      </c>
      <c r="Y202" s="690">
        <f t="shared" si="545"/>
        <v>0</v>
      </c>
      <c r="Z202" s="690">
        <f t="shared" si="545"/>
        <v>0</v>
      </c>
      <c r="AA202" s="690">
        <f t="shared" si="545"/>
        <v>0</v>
      </c>
      <c r="AB202" s="690">
        <f t="shared" si="545"/>
        <v>0</v>
      </c>
      <c r="AC202" s="690">
        <f t="shared" si="545"/>
        <v>0</v>
      </c>
      <c r="AD202" s="690">
        <f t="shared" si="545"/>
        <v>0</v>
      </c>
      <c r="AE202" s="690">
        <f t="shared" si="545"/>
        <v>0</v>
      </c>
      <c r="AF202" s="690">
        <f t="shared" si="545"/>
        <v>0</v>
      </c>
      <c r="AG202" s="902">
        <f>SUM(U202:AF202)</f>
        <v>0</v>
      </c>
      <c r="AH202" s="902">
        <f t="shared" ref="AH202:AO202" si="546">AH200*AH201</f>
        <v>0</v>
      </c>
      <c r="AI202" s="902">
        <f t="shared" si="546"/>
        <v>0</v>
      </c>
      <c r="AJ202" s="902">
        <f t="shared" si="546"/>
        <v>0</v>
      </c>
      <c r="AK202" s="902">
        <f t="shared" si="546"/>
        <v>0</v>
      </c>
      <c r="AL202" s="902">
        <f t="shared" si="546"/>
        <v>0</v>
      </c>
      <c r="AM202" s="902">
        <f t="shared" si="546"/>
        <v>0</v>
      </c>
      <c r="AN202" s="902">
        <f t="shared" si="546"/>
        <v>0</v>
      </c>
      <c r="AO202" s="996">
        <f t="shared" si="546"/>
        <v>0</v>
      </c>
    </row>
    <row r="203" spans="1:42" s="18" customFormat="1" ht="13.15" customHeight="1" x14ac:dyDescent="0.2">
      <c r="A203" s="680" t="s">
        <v>249</v>
      </c>
      <c r="B203" s="680"/>
      <c r="C203" s="686">
        <f t="shared" ref="C203:F203" si="547">C197</f>
        <v>2</v>
      </c>
      <c r="D203" s="686">
        <f t="shared" si="547"/>
        <v>2</v>
      </c>
      <c r="E203" s="686">
        <f t="shared" si="547"/>
        <v>2</v>
      </c>
      <c r="F203" s="686">
        <f t="shared" si="547"/>
        <v>2</v>
      </c>
      <c r="G203" s="903">
        <f>F203</f>
        <v>2</v>
      </c>
      <c r="H203" s="686">
        <f t="shared" ref="H203:M203" si="548">H197</f>
        <v>2</v>
      </c>
      <c r="I203" s="686">
        <f t="shared" si="548"/>
        <v>2</v>
      </c>
      <c r="J203" s="686">
        <f t="shared" si="548"/>
        <v>2</v>
      </c>
      <c r="K203" s="686">
        <f t="shared" si="548"/>
        <v>2</v>
      </c>
      <c r="L203" s="686">
        <f t="shared" si="548"/>
        <v>2</v>
      </c>
      <c r="M203" s="686">
        <f t="shared" si="548"/>
        <v>2</v>
      </c>
      <c r="N203" s="686">
        <f t="shared" ref="N203:AO203" si="549">N197</f>
        <v>2</v>
      </c>
      <c r="O203" s="686">
        <f t="shared" si="549"/>
        <v>2</v>
      </c>
      <c r="P203" s="686">
        <f t="shared" si="549"/>
        <v>2</v>
      </c>
      <c r="Q203" s="686">
        <f t="shared" si="549"/>
        <v>2</v>
      </c>
      <c r="R203" s="686">
        <f t="shared" si="549"/>
        <v>2</v>
      </c>
      <c r="S203" s="686">
        <f t="shared" si="549"/>
        <v>2</v>
      </c>
      <c r="T203" s="919">
        <f t="shared" si="549"/>
        <v>2</v>
      </c>
      <c r="U203" s="686">
        <f t="shared" si="549"/>
        <v>2</v>
      </c>
      <c r="V203" s="686">
        <f t="shared" si="549"/>
        <v>2</v>
      </c>
      <c r="W203" s="686">
        <f t="shared" si="549"/>
        <v>2</v>
      </c>
      <c r="X203" s="686">
        <f t="shared" si="549"/>
        <v>2</v>
      </c>
      <c r="Y203" s="686">
        <f t="shared" si="549"/>
        <v>2</v>
      </c>
      <c r="Z203" s="686">
        <f t="shared" si="549"/>
        <v>2</v>
      </c>
      <c r="AA203" s="686">
        <f t="shared" si="549"/>
        <v>2</v>
      </c>
      <c r="AB203" s="686">
        <f t="shared" si="549"/>
        <v>2</v>
      </c>
      <c r="AC203" s="686">
        <f t="shared" si="549"/>
        <v>2</v>
      </c>
      <c r="AD203" s="686">
        <f t="shared" si="549"/>
        <v>2</v>
      </c>
      <c r="AE203" s="686">
        <f t="shared" si="549"/>
        <v>2</v>
      </c>
      <c r="AF203" s="686">
        <f t="shared" si="549"/>
        <v>2</v>
      </c>
      <c r="AG203" s="919">
        <f t="shared" si="549"/>
        <v>2</v>
      </c>
      <c r="AH203" s="919">
        <f t="shared" si="549"/>
        <v>2</v>
      </c>
      <c r="AI203" s="919">
        <f t="shared" si="549"/>
        <v>2</v>
      </c>
      <c r="AJ203" s="919">
        <f t="shared" si="549"/>
        <v>2</v>
      </c>
      <c r="AK203" s="919">
        <f t="shared" si="549"/>
        <v>2</v>
      </c>
      <c r="AL203" s="919">
        <f t="shared" si="549"/>
        <v>2</v>
      </c>
      <c r="AM203" s="919">
        <f t="shared" si="549"/>
        <v>2</v>
      </c>
      <c r="AN203" s="919">
        <f t="shared" si="549"/>
        <v>2</v>
      </c>
      <c r="AO203" s="998">
        <f t="shared" si="549"/>
        <v>2</v>
      </c>
    </row>
    <row r="204" spans="1:42" s="18" customFormat="1" ht="13.15" customHeight="1" x14ac:dyDescent="0.2">
      <c r="A204" s="680" t="s">
        <v>255</v>
      </c>
      <c r="B204" s="680"/>
      <c r="C204" s="690">
        <f t="shared" ref="C204:F204" si="550">C202*C203</f>
        <v>0</v>
      </c>
      <c r="D204" s="690">
        <f t="shared" si="550"/>
        <v>0</v>
      </c>
      <c r="E204" s="690">
        <f t="shared" si="550"/>
        <v>0</v>
      </c>
      <c r="F204" s="690">
        <f t="shared" si="550"/>
        <v>0</v>
      </c>
      <c r="G204" s="902">
        <f>SUM(C204:F204)</f>
        <v>0</v>
      </c>
      <c r="H204" s="690">
        <f t="shared" ref="H204:M204" si="551">H202*H203</f>
        <v>0</v>
      </c>
      <c r="I204" s="690">
        <f t="shared" si="551"/>
        <v>0</v>
      </c>
      <c r="J204" s="690">
        <f t="shared" si="551"/>
        <v>0</v>
      </c>
      <c r="K204" s="690">
        <f t="shared" si="551"/>
        <v>0</v>
      </c>
      <c r="L204" s="690">
        <f t="shared" si="551"/>
        <v>0</v>
      </c>
      <c r="M204" s="690">
        <f t="shared" si="551"/>
        <v>0</v>
      </c>
      <c r="N204" s="690">
        <f t="shared" ref="N204:S204" si="552">N202*N203</f>
        <v>0</v>
      </c>
      <c r="O204" s="690">
        <f t="shared" si="552"/>
        <v>0</v>
      </c>
      <c r="P204" s="690">
        <f t="shared" si="552"/>
        <v>0</v>
      </c>
      <c r="Q204" s="690">
        <f t="shared" si="552"/>
        <v>0</v>
      </c>
      <c r="R204" s="690">
        <f t="shared" si="552"/>
        <v>0</v>
      </c>
      <c r="S204" s="690">
        <f t="shared" si="552"/>
        <v>0</v>
      </c>
      <c r="T204" s="918">
        <f>SUM(H204:S204)</f>
        <v>0</v>
      </c>
      <c r="U204" s="690">
        <f t="shared" ref="U204:AF204" si="553">U202*U203</f>
        <v>0</v>
      </c>
      <c r="V204" s="690">
        <f t="shared" si="553"/>
        <v>0</v>
      </c>
      <c r="W204" s="690">
        <f t="shared" si="553"/>
        <v>0</v>
      </c>
      <c r="X204" s="690">
        <f t="shared" si="553"/>
        <v>0</v>
      </c>
      <c r="Y204" s="690">
        <f t="shared" si="553"/>
        <v>0</v>
      </c>
      <c r="Z204" s="690">
        <f t="shared" si="553"/>
        <v>0</v>
      </c>
      <c r="AA204" s="690">
        <f t="shared" si="553"/>
        <v>0</v>
      </c>
      <c r="AB204" s="690">
        <f t="shared" si="553"/>
        <v>0</v>
      </c>
      <c r="AC204" s="690">
        <f t="shared" si="553"/>
        <v>0</v>
      </c>
      <c r="AD204" s="690">
        <f t="shared" si="553"/>
        <v>0</v>
      </c>
      <c r="AE204" s="690">
        <f t="shared" si="553"/>
        <v>0</v>
      </c>
      <c r="AF204" s="690">
        <f t="shared" si="553"/>
        <v>0</v>
      </c>
      <c r="AG204" s="918">
        <f>SUM(U204:AF204)</f>
        <v>0</v>
      </c>
      <c r="AH204" s="902">
        <f t="shared" ref="AH204:AO204" si="554">AH202*AH203</f>
        <v>0</v>
      </c>
      <c r="AI204" s="902">
        <f t="shared" si="554"/>
        <v>0</v>
      </c>
      <c r="AJ204" s="902">
        <f t="shared" si="554"/>
        <v>0</v>
      </c>
      <c r="AK204" s="902">
        <f t="shared" si="554"/>
        <v>0</v>
      </c>
      <c r="AL204" s="902">
        <f t="shared" si="554"/>
        <v>0</v>
      </c>
      <c r="AM204" s="902">
        <f t="shared" si="554"/>
        <v>0</v>
      </c>
      <c r="AN204" s="902">
        <f t="shared" si="554"/>
        <v>0</v>
      </c>
      <c r="AO204" s="996">
        <f t="shared" si="554"/>
        <v>0</v>
      </c>
    </row>
    <row r="205" spans="1:42" s="18" customFormat="1" ht="13.15" customHeight="1" x14ac:dyDescent="0.2">
      <c r="A205" s="674"/>
      <c r="B205" s="674"/>
      <c r="C205" s="682"/>
      <c r="D205" s="682"/>
      <c r="E205" s="682"/>
      <c r="F205" s="682"/>
      <c r="G205" s="900"/>
      <c r="H205" s="682"/>
      <c r="I205" s="682"/>
      <c r="J205" s="682"/>
      <c r="K205" s="682"/>
      <c r="L205" s="682"/>
      <c r="M205" s="682"/>
      <c r="N205" s="682"/>
      <c r="O205" s="682"/>
      <c r="P205" s="682"/>
      <c r="Q205" s="682"/>
      <c r="R205" s="682"/>
      <c r="S205" s="682"/>
      <c r="T205" s="917"/>
      <c r="U205" s="682"/>
      <c r="V205" s="682"/>
      <c r="W205" s="682"/>
      <c r="X205" s="682"/>
      <c r="Y205" s="682"/>
      <c r="Z205" s="682"/>
      <c r="AA205" s="682"/>
      <c r="AB205" s="682"/>
      <c r="AC205" s="682"/>
      <c r="AD205" s="682"/>
      <c r="AE205" s="682"/>
      <c r="AF205" s="682"/>
      <c r="AG205" s="917"/>
      <c r="AH205" s="917"/>
      <c r="AI205" s="917"/>
      <c r="AJ205" s="917"/>
      <c r="AK205" s="924"/>
      <c r="AL205" s="924"/>
      <c r="AM205" s="924"/>
      <c r="AN205" s="924"/>
      <c r="AO205" s="995"/>
    </row>
    <row r="206" spans="1:42" s="18" customFormat="1" ht="13.15" customHeight="1" x14ac:dyDescent="0.2">
      <c r="A206" s="680" t="s">
        <v>256</v>
      </c>
      <c r="B206" s="680"/>
      <c r="C206" s="689">
        <v>0</v>
      </c>
      <c r="D206" s="689">
        <v>0</v>
      </c>
      <c r="E206" s="689">
        <v>0</v>
      </c>
      <c r="F206" s="689">
        <v>0</v>
      </c>
      <c r="G206" s="902">
        <f>F206</f>
        <v>0</v>
      </c>
      <c r="H206" s="689">
        <v>0</v>
      </c>
      <c r="I206" s="689">
        <v>0</v>
      </c>
      <c r="J206" s="689">
        <v>0</v>
      </c>
      <c r="K206" s="689">
        <v>0</v>
      </c>
      <c r="L206" s="689">
        <v>0</v>
      </c>
      <c r="M206" s="689">
        <v>0</v>
      </c>
      <c r="N206" s="689">
        <v>0</v>
      </c>
      <c r="O206" s="689">
        <v>0</v>
      </c>
      <c r="P206" s="689">
        <v>0</v>
      </c>
      <c r="Q206" s="689">
        <v>0</v>
      </c>
      <c r="R206" s="689">
        <v>0</v>
      </c>
      <c r="S206" s="689">
        <v>0</v>
      </c>
      <c r="T206" s="902">
        <f>S206</f>
        <v>0</v>
      </c>
      <c r="U206" s="689">
        <f>S206</f>
        <v>0</v>
      </c>
      <c r="V206" s="689">
        <f t="shared" ref="V206:AG206" si="555">U206</f>
        <v>0</v>
      </c>
      <c r="W206" s="689">
        <f t="shared" si="555"/>
        <v>0</v>
      </c>
      <c r="X206" s="689">
        <f t="shared" si="555"/>
        <v>0</v>
      </c>
      <c r="Y206" s="689">
        <f t="shared" si="555"/>
        <v>0</v>
      </c>
      <c r="Z206" s="689">
        <f t="shared" si="555"/>
        <v>0</v>
      </c>
      <c r="AA206" s="689">
        <f t="shared" si="555"/>
        <v>0</v>
      </c>
      <c r="AB206" s="689">
        <f t="shared" si="555"/>
        <v>0</v>
      </c>
      <c r="AC206" s="689">
        <f t="shared" si="555"/>
        <v>0</v>
      </c>
      <c r="AD206" s="689">
        <f t="shared" si="555"/>
        <v>0</v>
      </c>
      <c r="AE206" s="689">
        <f t="shared" si="555"/>
        <v>0</v>
      </c>
      <c r="AF206" s="689">
        <f t="shared" si="555"/>
        <v>0</v>
      </c>
      <c r="AG206" s="902">
        <f t="shared" si="555"/>
        <v>0</v>
      </c>
      <c r="AH206" s="899">
        <f>AF206</f>
        <v>0</v>
      </c>
      <c r="AI206" s="899">
        <f t="shared" ref="AI206:AO206" si="556">AH206</f>
        <v>0</v>
      </c>
      <c r="AJ206" s="899">
        <f t="shared" si="556"/>
        <v>0</v>
      </c>
      <c r="AK206" s="899">
        <f t="shared" si="556"/>
        <v>0</v>
      </c>
      <c r="AL206" s="899">
        <f t="shared" si="556"/>
        <v>0</v>
      </c>
      <c r="AM206" s="899">
        <f t="shared" si="556"/>
        <v>0</v>
      </c>
      <c r="AN206" s="899">
        <f t="shared" si="556"/>
        <v>0</v>
      </c>
      <c r="AO206" s="1000">
        <f t="shared" si="556"/>
        <v>0</v>
      </c>
    </row>
    <row r="207" spans="1:42" s="18" customFormat="1" ht="13.15" customHeight="1" x14ac:dyDescent="0.2">
      <c r="A207" s="680" t="s">
        <v>252</v>
      </c>
      <c r="B207" s="680"/>
      <c r="C207" s="689">
        <v>0</v>
      </c>
      <c r="D207" s="689">
        <v>0</v>
      </c>
      <c r="E207" s="689">
        <v>0</v>
      </c>
      <c r="F207" s="689">
        <v>0</v>
      </c>
      <c r="G207" s="902">
        <f>SUM(C207:F207)</f>
        <v>0</v>
      </c>
      <c r="H207" s="689">
        <v>0</v>
      </c>
      <c r="I207" s="689">
        <v>0</v>
      </c>
      <c r="J207" s="689">
        <v>0</v>
      </c>
      <c r="K207" s="689">
        <v>0</v>
      </c>
      <c r="L207" s="689">
        <v>0</v>
      </c>
      <c r="M207" s="689">
        <v>0</v>
      </c>
      <c r="N207" s="689">
        <f t="shared" ref="N207:S207" si="557">300/12</f>
        <v>25</v>
      </c>
      <c r="O207" s="689">
        <f t="shared" si="557"/>
        <v>25</v>
      </c>
      <c r="P207" s="689">
        <f t="shared" si="557"/>
        <v>25</v>
      </c>
      <c r="Q207" s="689">
        <f t="shared" si="557"/>
        <v>25</v>
      </c>
      <c r="R207" s="689">
        <f t="shared" si="557"/>
        <v>25</v>
      </c>
      <c r="S207" s="689">
        <f t="shared" si="557"/>
        <v>25</v>
      </c>
      <c r="T207" s="917">
        <f>SUM(H207:S207)</f>
        <v>150</v>
      </c>
      <c r="U207" s="689">
        <f>300/12</f>
        <v>25</v>
      </c>
      <c r="V207" s="689">
        <f t="shared" ref="V207:AF207" si="558">300/12</f>
        <v>25</v>
      </c>
      <c r="W207" s="689">
        <f t="shared" si="558"/>
        <v>25</v>
      </c>
      <c r="X207" s="689">
        <f t="shared" si="558"/>
        <v>25</v>
      </c>
      <c r="Y207" s="689">
        <f t="shared" si="558"/>
        <v>25</v>
      </c>
      <c r="Z207" s="689">
        <f t="shared" si="558"/>
        <v>25</v>
      </c>
      <c r="AA207" s="689">
        <f t="shared" si="558"/>
        <v>25</v>
      </c>
      <c r="AB207" s="689">
        <f t="shared" si="558"/>
        <v>25</v>
      </c>
      <c r="AC207" s="689">
        <f t="shared" si="558"/>
        <v>25</v>
      </c>
      <c r="AD207" s="689">
        <f t="shared" si="558"/>
        <v>25</v>
      </c>
      <c r="AE207" s="689">
        <f t="shared" si="558"/>
        <v>25</v>
      </c>
      <c r="AF207" s="689">
        <f t="shared" si="558"/>
        <v>25</v>
      </c>
      <c r="AG207" s="917">
        <f>SUM(U207:AF207)</f>
        <v>300</v>
      </c>
      <c r="AH207" s="899">
        <v>300</v>
      </c>
      <c r="AI207" s="899">
        <v>300</v>
      </c>
      <c r="AJ207" s="899">
        <v>300</v>
      </c>
      <c r="AK207" s="899">
        <v>300</v>
      </c>
      <c r="AL207" s="899">
        <v>300</v>
      </c>
      <c r="AM207" s="899">
        <v>300</v>
      </c>
      <c r="AN207" s="899">
        <v>300</v>
      </c>
      <c r="AO207" s="1000">
        <v>300</v>
      </c>
    </row>
    <row r="208" spans="1:42" s="18" customFormat="1" ht="13.15" customHeight="1" x14ac:dyDescent="0.2">
      <c r="A208" s="680" t="s">
        <v>254</v>
      </c>
      <c r="B208" s="680"/>
      <c r="C208" s="690">
        <f t="shared" ref="C208:F208" si="559">C206*C207</f>
        <v>0</v>
      </c>
      <c r="D208" s="690">
        <f t="shared" si="559"/>
        <v>0</v>
      </c>
      <c r="E208" s="690">
        <f t="shared" si="559"/>
        <v>0</v>
      </c>
      <c r="F208" s="690">
        <f t="shared" si="559"/>
        <v>0</v>
      </c>
      <c r="G208" s="902">
        <f>SUM(C208:F208)</f>
        <v>0</v>
      </c>
      <c r="H208" s="690">
        <f t="shared" ref="H208:M208" si="560">H206*H207</f>
        <v>0</v>
      </c>
      <c r="I208" s="690">
        <f t="shared" si="560"/>
        <v>0</v>
      </c>
      <c r="J208" s="690">
        <f t="shared" si="560"/>
        <v>0</v>
      </c>
      <c r="K208" s="690">
        <f t="shared" si="560"/>
        <v>0</v>
      </c>
      <c r="L208" s="690">
        <f t="shared" si="560"/>
        <v>0</v>
      </c>
      <c r="M208" s="690">
        <f t="shared" si="560"/>
        <v>0</v>
      </c>
      <c r="N208" s="690">
        <f t="shared" ref="N208:S208" si="561">N206*N207</f>
        <v>0</v>
      </c>
      <c r="O208" s="690">
        <f t="shared" si="561"/>
        <v>0</v>
      </c>
      <c r="P208" s="690">
        <f t="shared" si="561"/>
        <v>0</v>
      </c>
      <c r="Q208" s="690">
        <f t="shared" si="561"/>
        <v>0</v>
      </c>
      <c r="R208" s="690">
        <f t="shared" si="561"/>
        <v>0</v>
      </c>
      <c r="S208" s="690">
        <f t="shared" si="561"/>
        <v>0</v>
      </c>
      <c r="T208" s="917">
        <f>SUM(H208:S208)</f>
        <v>0</v>
      </c>
      <c r="U208" s="690">
        <f t="shared" ref="U208:AF208" si="562">U206*U207</f>
        <v>0</v>
      </c>
      <c r="V208" s="690">
        <f t="shared" si="562"/>
        <v>0</v>
      </c>
      <c r="W208" s="690">
        <f t="shared" si="562"/>
        <v>0</v>
      </c>
      <c r="X208" s="690">
        <f t="shared" si="562"/>
        <v>0</v>
      </c>
      <c r="Y208" s="690">
        <f t="shared" si="562"/>
        <v>0</v>
      </c>
      <c r="Z208" s="690">
        <f t="shared" si="562"/>
        <v>0</v>
      </c>
      <c r="AA208" s="690">
        <f t="shared" si="562"/>
        <v>0</v>
      </c>
      <c r="AB208" s="690">
        <f t="shared" si="562"/>
        <v>0</v>
      </c>
      <c r="AC208" s="690">
        <f t="shared" si="562"/>
        <v>0</v>
      </c>
      <c r="AD208" s="690">
        <f t="shared" si="562"/>
        <v>0</v>
      </c>
      <c r="AE208" s="690">
        <f t="shared" si="562"/>
        <v>0</v>
      </c>
      <c r="AF208" s="690">
        <f t="shared" si="562"/>
        <v>0</v>
      </c>
      <c r="AG208" s="917">
        <f>SUM(U208:AF208)</f>
        <v>0</v>
      </c>
      <c r="AH208" s="902">
        <f t="shared" ref="AH208:AO208" si="563">AH206*AH207</f>
        <v>0</v>
      </c>
      <c r="AI208" s="902">
        <f t="shared" si="563"/>
        <v>0</v>
      </c>
      <c r="AJ208" s="902">
        <f t="shared" si="563"/>
        <v>0</v>
      </c>
      <c r="AK208" s="902">
        <f t="shared" si="563"/>
        <v>0</v>
      </c>
      <c r="AL208" s="902">
        <f t="shared" si="563"/>
        <v>0</v>
      </c>
      <c r="AM208" s="902">
        <f t="shared" si="563"/>
        <v>0</v>
      </c>
      <c r="AN208" s="902">
        <f t="shared" si="563"/>
        <v>0</v>
      </c>
      <c r="AO208" s="996">
        <f t="shared" si="563"/>
        <v>0</v>
      </c>
    </row>
    <row r="209" spans="1:42" s="18" customFormat="1" ht="13.15" customHeight="1" x14ac:dyDescent="0.2">
      <c r="A209" s="680" t="s">
        <v>249</v>
      </c>
      <c r="B209" s="680"/>
      <c r="C209" s="686">
        <f t="shared" ref="C209:F209" si="564">C197</f>
        <v>2</v>
      </c>
      <c r="D209" s="686">
        <f t="shared" si="564"/>
        <v>2</v>
      </c>
      <c r="E209" s="686">
        <f t="shared" si="564"/>
        <v>2</v>
      </c>
      <c r="F209" s="686">
        <f t="shared" si="564"/>
        <v>2</v>
      </c>
      <c r="G209" s="903">
        <f>F209</f>
        <v>2</v>
      </c>
      <c r="H209" s="686">
        <f t="shared" ref="H209:M209" si="565">H197</f>
        <v>2</v>
      </c>
      <c r="I209" s="686">
        <f t="shared" si="565"/>
        <v>2</v>
      </c>
      <c r="J209" s="686">
        <f t="shared" si="565"/>
        <v>2</v>
      </c>
      <c r="K209" s="686">
        <f t="shared" si="565"/>
        <v>2</v>
      </c>
      <c r="L209" s="686">
        <f t="shared" si="565"/>
        <v>2</v>
      </c>
      <c r="M209" s="686">
        <f t="shared" si="565"/>
        <v>2</v>
      </c>
      <c r="N209" s="686">
        <f t="shared" ref="N209:AO209" si="566">N197</f>
        <v>2</v>
      </c>
      <c r="O209" s="686">
        <f t="shared" si="566"/>
        <v>2</v>
      </c>
      <c r="P209" s="686">
        <f t="shared" si="566"/>
        <v>2</v>
      </c>
      <c r="Q209" s="686">
        <f t="shared" si="566"/>
        <v>2</v>
      </c>
      <c r="R209" s="686">
        <f t="shared" si="566"/>
        <v>2</v>
      </c>
      <c r="S209" s="686">
        <f t="shared" si="566"/>
        <v>2</v>
      </c>
      <c r="T209" s="919">
        <f t="shared" si="566"/>
        <v>2</v>
      </c>
      <c r="U209" s="686">
        <f t="shared" si="566"/>
        <v>2</v>
      </c>
      <c r="V209" s="686">
        <f t="shared" si="566"/>
        <v>2</v>
      </c>
      <c r="W209" s="686">
        <f t="shared" si="566"/>
        <v>2</v>
      </c>
      <c r="X209" s="686">
        <f t="shared" si="566"/>
        <v>2</v>
      </c>
      <c r="Y209" s="686">
        <f t="shared" si="566"/>
        <v>2</v>
      </c>
      <c r="Z209" s="686">
        <f t="shared" si="566"/>
        <v>2</v>
      </c>
      <c r="AA209" s="686">
        <f t="shared" si="566"/>
        <v>2</v>
      </c>
      <c r="AB209" s="686">
        <f t="shared" si="566"/>
        <v>2</v>
      </c>
      <c r="AC209" s="686">
        <f t="shared" si="566"/>
        <v>2</v>
      </c>
      <c r="AD209" s="686">
        <f t="shared" si="566"/>
        <v>2</v>
      </c>
      <c r="AE209" s="686">
        <f t="shared" si="566"/>
        <v>2</v>
      </c>
      <c r="AF209" s="686">
        <f t="shared" si="566"/>
        <v>2</v>
      </c>
      <c r="AG209" s="919">
        <f t="shared" si="566"/>
        <v>2</v>
      </c>
      <c r="AH209" s="919">
        <f t="shared" si="566"/>
        <v>2</v>
      </c>
      <c r="AI209" s="919">
        <f t="shared" si="566"/>
        <v>2</v>
      </c>
      <c r="AJ209" s="919">
        <f t="shared" si="566"/>
        <v>2</v>
      </c>
      <c r="AK209" s="919">
        <f t="shared" si="566"/>
        <v>2</v>
      </c>
      <c r="AL209" s="919">
        <f t="shared" si="566"/>
        <v>2</v>
      </c>
      <c r="AM209" s="919">
        <f t="shared" si="566"/>
        <v>2</v>
      </c>
      <c r="AN209" s="919">
        <f t="shared" si="566"/>
        <v>2</v>
      </c>
      <c r="AO209" s="998">
        <f t="shared" si="566"/>
        <v>2</v>
      </c>
    </row>
    <row r="210" spans="1:42" s="18" customFormat="1" ht="13.15" customHeight="1" x14ac:dyDescent="0.2">
      <c r="A210" s="680" t="s">
        <v>255</v>
      </c>
      <c r="B210" s="680"/>
      <c r="C210" s="690">
        <f t="shared" ref="C210:F210" si="567">C208*C209</f>
        <v>0</v>
      </c>
      <c r="D210" s="690">
        <f t="shared" si="567"/>
        <v>0</v>
      </c>
      <c r="E210" s="690">
        <f t="shared" si="567"/>
        <v>0</v>
      </c>
      <c r="F210" s="690">
        <f t="shared" si="567"/>
        <v>0</v>
      </c>
      <c r="G210" s="902">
        <f>SUM(C210:F210)</f>
        <v>0</v>
      </c>
      <c r="H210" s="690">
        <f t="shared" ref="H210:M210" si="568">H208*H209</f>
        <v>0</v>
      </c>
      <c r="I210" s="690">
        <f t="shared" si="568"/>
        <v>0</v>
      </c>
      <c r="J210" s="690">
        <f t="shared" si="568"/>
        <v>0</v>
      </c>
      <c r="K210" s="690">
        <f t="shared" si="568"/>
        <v>0</v>
      </c>
      <c r="L210" s="690">
        <f t="shared" si="568"/>
        <v>0</v>
      </c>
      <c r="M210" s="690">
        <f t="shared" si="568"/>
        <v>0</v>
      </c>
      <c r="N210" s="690">
        <f t="shared" ref="N210:S210" si="569">N208*N209</f>
        <v>0</v>
      </c>
      <c r="O210" s="690">
        <f t="shared" si="569"/>
        <v>0</v>
      </c>
      <c r="P210" s="690">
        <f t="shared" si="569"/>
        <v>0</v>
      </c>
      <c r="Q210" s="690">
        <f t="shared" si="569"/>
        <v>0</v>
      </c>
      <c r="R210" s="690">
        <f t="shared" si="569"/>
        <v>0</v>
      </c>
      <c r="S210" s="690">
        <f t="shared" si="569"/>
        <v>0</v>
      </c>
      <c r="T210" s="918">
        <f>SUM(H210:S210)</f>
        <v>0</v>
      </c>
      <c r="U210" s="690">
        <f t="shared" ref="U210:AF210" si="570">U208*U209</f>
        <v>0</v>
      </c>
      <c r="V210" s="690">
        <f t="shared" si="570"/>
        <v>0</v>
      </c>
      <c r="W210" s="690">
        <f t="shared" si="570"/>
        <v>0</v>
      </c>
      <c r="X210" s="690">
        <f t="shared" si="570"/>
        <v>0</v>
      </c>
      <c r="Y210" s="690">
        <f t="shared" si="570"/>
        <v>0</v>
      </c>
      <c r="Z210" s="690">
        <f t="shared" si="570"/>
        <v>0</v>
      </c>
      <c r="AA210" s="690">
        <f t="shared" si="570"/>
        <v>0</v>
      </c>
      <c r="AB210" s="690">
        <f t="shared" si="570"/>
        <v>0</v>
      </c>
      <c r="AC210" s="690">
        <f t="shared" si="570"/>
        <v>0</v>
      </c>
      <c r="AD210" s="690">
        <f t="shared" si="570"/>
        <v>0</v>
      </c>
      <c r="AE210" s="690">
        <f t="shared" si="570"/>
        <v>0</v>
      </c>
      <c r="AF210" s="690">
        <f t="shared" si="570"/>
        <v>0</v>
      </c>
      <c r="AG210" s="918">
        <f>SUM(U210:AF210)</f>
        <v>0</v>
      </c>
      <c r="AH210" s="902">
        <f t="shared" ref="AH210:AO210" si="571">AH208*AH209</f>
        <v>0</v>
      </c>
      <c r="AI210" s="902">
        <f t="shared" si="571"/>
        <v>0</v>
      </c>
      <c r="AJ210" s="902">
        <f t="shared" si="571"/>
        <v>0</v>
      </c>
      <c r="AK210" s="902">
        <f t="shared" si="571"/>
        <v>0</v>
      </c>
      <c r="AL210" s="902">
        <f t="shared" si="571"/>
        <v>0</v>
      </c>
      <c r="AM210" s="902">
        <f t="shared" si="571"/>
        <v>0</v>
      </c>
      <c r="AN210" s="902">
        <f t="shared" si="571"/>
        <v>0</v>
      </c>
      <c r="AO210" s="996">
        <f t="shared" si="571"/>
        <v>0</v>
      </c>
    </row>
    <row r="211" spans="1:42" s="18" customFormat="1" ht="13.15" customHeight="1" x14ac:dyDescent="0.2">
      <c r="A211" s="680"/>
      <c r="B211" s="680"/>
      <c r="C211" s="682"/>
      <c r="D211" s="682"/>
      <c r="E211" s="682"/>
      <c r="F211" s="682"/>
      <c r="G211" s="900"/>
      <c r="H211" s="682"/>
      <c r="I211" s="682"/>
      <c r="J211" s="682"/>
      <c r="K211" s="682"/>
      <c r="L211" s="682"/>
      <c r="M211" s="682"/>
      <c r="N211" s="682"/>
      <c r="O211" s="682"/>
      <c r="P211" s="682"/>
      <c r="Q211" s="682"/>
      <c r="R211" s="682"/>
      <c r="S211" s="682"/>
      <c r="T211" s="917"/>
      <c r="U211" s="682"/>
      <c r="V211" s="682"/>
      <c r="W211" s="682"/>
      <c r="X211" s="682"/>
      <c r="Y211" s="682"/>
      <c r="Z211" s="682"/>
      <c r="AA211" s="682"/>
      <c r="AB211" s="682"/>
      <c r="AC211" s="682"/>
      <c r="AD211" s="682"/>
      <c r="AE211" s="682"/>
      <c r="AF211" s="682"/>
      <c r="AG211" s="917"/>
      <c r="AH211" s="917"/>
      <c r="AI211" s="917"/>
      <c r="AJ211" s="917"/>
      <c r="AK211" s="924"/>
      <c r="AL211" s="924"/>
      <c r="AM211" s="924"/>
      <c r="AN211" s="924"/>
      <c r="AO211" s="995"/>
    </row>
    <row r="212" spans="1:42" s="277" customFormat="1" ht="13.15" customHeight="1" x14ac:dyDescent="0.2">
      <c r="A212" s="676" t="s">
        <v>257</v>
      </c>
      <c r="B212" s="676"/>
      <c r="C212" s="694">
        <f t="shared" ref="C212:F212" si="572">C198+C204+C210</f>
        <v>0</v>
      </c>
      <c r="D212" s="694">
        <f t="shared" si="572"/>
        <v>0</v>
      </c>
      <c r="E212" s="694">
        <f t="shared" si="572"/>
        <v>0</v>
      </c>
      <c r="F212" s="694">
        <f t="shared" si="572"/>
        <v>0</v>
      </c>
      <c r="G212" s="904">
        <f>SUM(C212:F212)</f>
        <v>0</v>
      </c>
      <c r="H212" s="694">
        <f t="shared" ref="H212:M212" si="573">H198+H204+H210</f>
        <v>0</v>
      </c>
      <c r="I212" s="694">
        <f t="shared" si="573"/>
        <v>0</v>
      </c>
      <c r="J212" s="694">
        <f t="shared" si="573"/>
        <v>0</v>
      </c>
      <c r="K212" s="694">
        <f t="shared" si="573"/>
        <v>0</v>
      </c>
      <c r="L212" s="694">
        <f t="shared" si="573"/>
        <v>0</v>
      </c>
      <c r="M212" s="694">
        <f t="shared" si="573"/>
        <v>0</v>
      </c>
      <c r="N212" s="694">
        <f t="shared" ref="N212:S212" si="574">N198+N204+N210</f>
        <v>0</v>
      </c>
      <c r="O212" s="694">
        <f t="shared" si="574"/>
        <v>0</v>
      </c>
      <c r="P212" s="694">
        <f t="shared" si="574"/>
        <v>0</v>
      </c>
      <c r="Q212" s="694">
        <f t="shared" si="574"/>
        <v>0</v>
      </c>
      <c r="R212" s="694">
        <f t="shared" si="574"/>
        <v>0</v>
      </c>
      <c r="S212" s="694">
        <f t="shared" si="574"/>
        <v>0</v>
      </c>
      <c r="T212" s="915">
        <f>SUM(H212:S212)</f>
        <v>0</v>
      </c>
      <c r="U212" s="694">
        <f t="shared" ref="U212:AF212" si="575">U198+U204+U210</f>
        <v>0</v>
      </c>
      <c r="V212" s="694">
        <f t="shared" si="575"/>
        <v>0</v>
      </c>
      <c r="W212" s="694">
        <f t="shared" si="575"/>
        <v>0</v>
      </c>
      <c r="X212" s="694">
        <f t="shared" si="575"/>
        <v>0</v>
      </c>
      <c r="Y212" s="694">
        <f t="shared" si="575"/>
        <v>0</v>
      </c>
      <c r="Z212" s="694">
        <f t="shared" si="575"/>
        <v>0</v>
      </c>
      <c r="AA212" s="694">
        <f t="shared" si="575"/>
        <v>0</v>
      </c>
      <c r="AB212" s="694">
        <f t="shared" si="575"/>
        <v>0</v>
      </c>
      <c r="AC212" s="694">
        <f t="shared" si="575"/>
        <v>0</v>
      </c>
      <c r="AD212" s="694">
        <f t="shared" si="575"/>
        <v>0</v>
      </c>
      <c r="AE212" s="694">
        <f t="shared" si="575"/>
        <v>0</v>
      </c>
      <c r="AF212" s="694">
        <f t="shared" si="575"/>
        <v>0</v>
      </c>
      <c r="AG212" s="904">
        <f>SUM(U212:AF212)</f>
        <v>0</v>
      </c>
      <c r="AH212" s="904">
        <f t="shared" ref="AH212:AO212" si="576">AH198+AH204+AH210</f>
        <v>396.90000000000003</v>
      </c>
      <c r="AI212" s="904">
        <f t="shared" si="576"/>
        <v>1651.104</v>
      </c>
      <c r="AJ212" s="904">
        <f t="shared" si="576"/>
        <v>3826.4335199999996</v>
      </c>
      <c r="AK212" s="904">
        <f t="shared" si="576"/>
        <v>7805.9243807999992</v>
      </c>
      <c r="AL212" s="904">
        <f t="shared" si="576"/>
        <v>13285.972404432001</v>
      </c>
      <c r="AM212" s="904">
        <f t="shared" si="576"/>
        <v>17519.96361024</v>
      </c>
      <c r="AN212" s="904">
        <f t="shared" si="576"/>
        <v>20439.957545280005</v>
      </c>
      <c r="AO212" s="1001">
        <f t="shared" si="576"/>
        <v>23359.951480320004</v>
      </c>
    </row>
    <row r="213" spans="1:42" s="18" customFormat="1" ht="13.15" customHeight="1" x14ac:dyDescent="0.2">
      <c r="A213" s="680"/>
      <c r="B213" s="680"/>
      <c r="C213" s="682"/>
      <c r="D213" s="682"/>
      <c r="E213" s="682"/>
      <c r="F213" s="682"/>
      <c r="G213" s="900"/>
      <c r="H213" s="682"/>
      <c r="I213" s="682"/>
      <c r="J213" s="682"/>
      <c r="K213" s="682"/>
      <c r="L213" s="682"/>
      <c r="M213" s="682"/>
      <c r="N213" s="682"/>
      <c r="O213" s="682"/>
      <c r="P213" s="682"/>
      <c r="Q213" s="682"/>
      <c r="R213" s="682"/>
      <c r="S213" s="682"/>
      <c r="T213" s="917"/>
      <c r="U213" s="682"/>
      <c r="V213" s="682"/>
      <c r="W213" s="682"/>
      <c r="X213" s="682"/>
      <c r="Y213" s="682"/>
      <c r="Z213" s="682"/>
      <c r="AA213" s="682"/>
      <c r="AB213" s="682"/>
      <c r="AC213" s="682"/>
      <c r="AD213" s="682"/>
      <c r="AE213" s="682"/>
      <c r="AF213" s="682"/>
      <c r="AG213" s="917"/>
      <c r="AH213" s="917"/>
      <c r="AI213" s="917"/>
      <c r="AJ213" s="917"/>
      <c r="AK213" s="924"/>
      <c r="AL213" s="924"/>
      <c r="AM213" s="924"/>
      <c r="AN213" s="924"/>
      <c r="AO213" s="995"/>
    </row>
    <row r="214" spans="1:42" s="18" customFormat="1" ht="13.15" customHeight="1" x14ac:dyDescent="0.2">
      <c r="A214" s="680" t="s">
        <v>258</v>
      </c>
      <c r="B214" s="680"/>
      <c r="C214" s="767">
        <f t="shared" ref="C214:F214" si="577">C133</f>
        <v>300</v>
      </c>
      <c r="D214" s="767">
        <f t="shared" si="577"/>
        <v>300</v>
      </c>
      <c r="E214" s="767">
        <f t="shared" si="577"/>
        <v>300</v>
      </c>
      <c r="F214" s="767">
        <f t="shared" si="577"/>
        <v>300</v>
      </c>
      <c r="G214" s="905">
        <f>F214</f>
        <v>300</v>
      </c>
      <c r="H214" s="767">
        <f t="shared" ref="H214:M214" si="578">H133</f>
        <v>300</v>
      </c>
      <c r="I214" s="767">
        <f t="shared" si="578"/>
        <v>300</v>
      </c>
      <c r="J214" s="767">
        <f t="shared" si="578"/>
        <v>300</v>
      </c>
      <c r="K214" s="767">
        <f t="shared" si="578"/>
        <v>300</v>
      </c>
      <c r="L214" s="767">
        <f t="shared" si="578"/>
        <v>300</v>
      </c>
      <c r="M214" s="767">
        <f t="shared" si="578"/>
        <v>300</v>
      </c>
      <c r="N214" s="767">
        <f t="shared" ref="N214:AO214" si="579">N$25</f>
        <v>300</v>
      </c>
      <c r="O214" s="767">
        <f t="shared" si="579"/>
        <v>300</v>
      </c>
      <c r="P214" s="767">
        <f t="shared" si="579"/>
        <v>300</v>
      </c>
      <c r="Q214" s="767">
        <f t="shared" si="579"/>
        <v>300</v>
      </c>
      <c r="R214" s="767">
        <f t="shared" si="579"/>
        <v>300</v>
      </c>
      <c r="S214" s="767">
        <f t="shared" si="579"/>
        <v>300</v>
      </c>
      <c r="T214" s="905">
        <f t="shared" si="579"/>
        <v>300</v>
      </c>
      <c r="U214" s="767">
        <f t="shared" si="579"/>
        <v>300</v>
      </c>
      <c r="V214" s="767">
        <f t="shared" si="579"/>
        <v>300</v>
      </c>
      <c r="W214" s="767">
        <f t="shared" si="579"/>
        <v>300</v>
      </c>
      <c r="X214" s="767">
        <f t="shared" si="579"/>
        <v>300</v>
      </c>
      <c r="Y214" s="767">
        <f t="shared" si="579"/>
        <v>300</v>
      </c>
      <c r="Z214" s="767">
        <f t="shared" si="579"/>
        <v>300</v>
      </c>
      <c r="AA214" s="767">
        <f t="shared" si="579"/>
        <v>300</v>
      </c>
      <c r="AB214" s="767">
        <f t="shared" si="579"/>
        <v>300</v>
      </c>
      <c r="AC214" s="767">
        <f t="shared" si="579"/>
        <v>300</v>
      </c>
      <c r="AD214" s="767">
        <f t="shared" si="579"/>
        <v>300</v>
      </c>
      <c r="AE214" s="767">
        <f t="shared" si="579"/>
        <v>300</v>
      </c>
      <c r="AF214" s="767">
        <f t="shared" si="579"/>
        <v>300</v>
      </c>
      <c r="AG214" s="905">
        <f t="shared" si="579"/>
        <v>300</v>
      </c>
      <c r="AH214" s="905">
        <f t="shared" si="579"/>
        <v>300</v>
      </c>
      <c r="AI214" s="905">
        <f t="shared" si="579"/>
        <v>300</v>
      </c>
      <c r="AJ214" s="905">
        <f t="shared" si="579"/>
        <v>300</v>
      </c>
      <c r="AK214" s="905">
        <f t="shared" si="579"/>
        <v>300</v>
      </c>
      <c r="AL214" s="905">
        <f t="shared" si="579"/>
        <v>300</v>
      </c>
      <c r="AM214" s="905">
        <f t="shared" si="579"/>
        <v>300</v>
      </c>
      <c r="AN214" s="905">
        <f t="shared" si="579"/>
        <v>300</v>
      </c>
      <c r="AO214" s="1002">
        <f t="shared" si="579"/>
        <v>300</v>
      </c>
      <c r="AP214" s="988"/>
    </row>
    <row r="215" spans="1:42" s="18" customFormat="1" ht="13.15" customHeight="1" x14ac:dyDescent="0.2">
      <c r="A215" s="680"/>
      <c r="B215" s="680"/>
      <c r="C215" s="682"/>
      <c r="D215" s="682"/>
      <c r="E215" s="682"/>
      <c r="F215" s="682"/>
      <c r="G215" s="900"/>
      <c r="H215" s="682"/>
      <c r="I215" s="682"/>
      <c r="J215" s="682"/>
      <c r="K215" s="682"/>
      <c r="L215" s="682"/>
      <c r="M215" s="682"/>
      <c r="N215" s="682"/>
      <c r="O215" s="682"/>
      <c r="P215" s="682"/>
      <c r="Q215" s="682"/>
      <c r="R215" s="682"/>
      <c r="S215" s="682"/>
      <c r="T215" s="917"/>
      <c r="U215" s="682"/>
      <c r="V215" s="682"/>
      <c r="W215" s="682"/>
      <c r="X215" s="682"/>
      <c r="Y215" s="682"/>
      <c r="Z215" s="682"/>
      <c r="AA215" s="682"/>
      <c r="AB215" s="682"/>
      <c r="AC215" s="682"/>
      <c r="AD215" s="682"/>
      <c r="AE215" s="682"/>
      <c r="AF215" s="682"/>
      <c r="AG215" s="917"/>
      <c r="AH215" s="917"/>
      <c r="AI215" s="917"/>
      <c r="AJ215" s="917"/>
      <c r="AK215" s="924"/>
      <c r="AL215" s="924"/>
      <c r="AM215" s="924"/>
      <c r="AN215" s="924"/>
      <c r="AO215" s="995"/>
    </row>
    <row r="216" spans="1:42" s="794" customFormat="1" ht="13.15" customHeight="1" x14ac:dyDescent="0.2">
      <c r="A216" s="763" t="s">
        <v>421</v>
      </c>
      <c r="B216" s="763"/>
      <c r="C216" s="765">
        <f t="shared" ref="C216:F216" si="580">C212*C214</f>
        <v>0</v>
      </c>
      <c r="D216" s="765">
        <f t="shared" si="580"/>
        <v>0</v>
      </c>
      <c r="E216" s="765">
        <f t="shared" si="580"/>
        <v>0</v>
      </c>
      <c r="F216" s="765">
        <f t="shared" si="580"/>
        <v>0</v>
      </c>
      <c r="G216" s="906">
        <f>SUM(C216:F216)</f>
        <v>0</v>
      </c>
      <c r="H216" s="765">
        <f t="shared" ref="H216:M216" si="581">H212*H214</f>
        <v>0</v>
      </c>
      <c r="I216" s="765">
        <f t="shared" si="581"/>
        <v>0</v>
      </c>
      <c r="J216" s="765">
        <f t="shared" si="581"/>
        <v>0</v>
      </c>
      <c r="K216" s="765">
        <f t="shared" si="581"/>
        <v>0</v>
      </c>
      <c r="L216" s="765">
        <f t="shared" si="581"/>
        <v>0</v>
      </c>
      <c r="M216" s="765">
        <f t="shared" si="581"/>
        <v>0</v>
      </c>
      <c r="N216" s="765">
        <f t="shared" ref="N216:S216" si="582">N212*N214</f>
        <v>0</v>
      </c>
      <c r="O216" s="765">
        <f t="shared" si="582"/>
        <v>0</v>
      </c>
      <c r="P216" s="765">
        <f t="shared" si="582"/>
        <v>0</v>
      </c>
      <c r="Q216" s="765">
        <f t="shared" si="582"/>
        <v>0</v>
      </c>
      <c r="R216" s="765">
        <f t="shared" si="582"/>
        <v>0</v>
      </c>
      <c r="S216" s="765">
        <f t="shared" si="582"/>
        <v>0</v>
      </c>
      <c r="T216" s="906">
        <f>SUM(H216:S216)</f>
        <v>0</v>
      </c>
      <c r="U216" s="765">
        <f>U212*U214</f>
        <v>0</v>
      </c>
      <c r="V216" s="765">
        <f t="shared" ref="V216:AF216" si="583">V212*V214</f>
        <v>0</v>
      </c>
      <c r="W216" s="765">
        <f t="shared" si="583"/>
        <v>0</v>
      </c>
      <c r="X216" s="765">
        <f t="shared" si="583"/>
        <v>0</v>
      </c>
      <c r="Y216" s="765">
        <f t="shared" si="583"/>
        <v>0</v>
      </c>
      <c r="Z216" s="765">
        <f t="shared" si="583"/>
        <v>0</v>
      </c>
      <c r="AA216" s="765">
        <f t="shared" si="583"/>
        <v>0</v>
      </c>
      <c r="AB216" s="765">
        <f t="shared" si="583"/>
        <v>0</v>
      </c>
      <c r="AC216" s="765">
        <f t="shared" si="583"/>
        <v>0</v>
      </c>
      <c r="AD216" s="765">
        <f t="shared" si="583"/>
        <v>0</v>
      </c>
      <c r="AE216" s="765">
        <f t="shared" si="583"/>
        <v>0</v>
      </c>
      <c r="AF216" s="765">
        <f t="shared" si="583"/>
        <v>0</v>
      </c>
      <c r="AG216" s="906">
        <f>SUM(U216:AF216)</f>
        <v>0</v>
      </c>
      <c r="AH216" s="906">
        <f t="shared" ref="AH216:AO216" si="584">AH212*AH214</f>
        <v>119070.00000000001</v>
      </c>
      <c r="AI216" s="906">
        <f t="shared" si="584"/>
        <v>495331.2</v>
      </c>
      <c r="AJ216" s="906">
        <f t="shared" si="584"/>
        <v>1147930.0559999999</v>
      </c>
      <c r="AK216" s="906">
        <f t="shared" si="584"/>
        <v>2341777.3142399997</v>
      </c>
      <c r="AL216" s="906">
        <f t="shared" si="584"/>
        <v>3985791.7213296001</v>
      </c>
      <c r="AM216" s="906">
        <f t="shared" si="584"/>
        <v>5255989.0830720002</v>
      </c>
      <c r="AN216" s="906">
        <f t="shared" si="584"/>
        <v>6131987.2635840019</v>
      </c>
      <c r="AO216" s="1003">
        <f t="shared" si="584"/>
        <v>7007985.4440960009</v>
      </c>
      <c r="AP216" s="277"/>
    </row>
    <row r="217" spans="1:42" s="18" customFormat="1" ht="13.15" customHeight="1" x14ac:dyDescent="0.2">
      <c r="A217" s="680"/>
      <c r="B217" s="680"/>
      <c r="C217" s="680"/>
      <c r="D217" s="680"/>
      <c r="E217" s="680"/>
      <c r="F217" s="680"/>
      <c r="G217" s="900"/>
      <c r="H217" s="682"/>
      <c r="I217" s="682"/>
      <c r="J217" s="682"/>
      <c r="K217" s="682"/>
      <c r="L217" s="682"/>
      <c r="M217" s="682"/>
      <c r="N217" s="682"/>
      <c r="O217" s="682"/>
      <c r="P217" s="682"/>
      <c r="Q217" s="682"/>
      <c r="R217" s="682"/>
      <c r="S217" s="682"/>
      <c r="T217" s="917"/>
      <c r="U217" s="682"/>
      <c r="V217" s="682"/>
      <c r="W217" s="682"/>
      <c r="X217" s="682"/>
      <c r="Y217" s="682"/>
      <c r="Z217" s="682"/>
      <c r="AA217" s="682"/>
      <c r="AB217" s="682"/>
      <c r="AC217" s="682"/>
      <c r="AD217" s="682"/>
      <c r="AE217" s="682"/>
      <c r="AF217" s="682"/>
      <c r="AG217" s="917"/>
      <c r="AH217" s="917"/>
      <c r="AI217" s="917"/>
      <c r="AJ217" s="917"/>
      <c r="AK217" s="924"/>
      <c r="AL217" s="924"/>
      <c r="AM217" s="924"/>
      <c r="AN217" s="924"/>
      <c r="AO217" s="995"/>
    </row>
    <row r="218" spans="1:42" s="18" customFormat="1" ht="13.15" customHeight="1" x14ac:dyDescent="0.2">
      <c r="A218" s="680"/>
      <c r="B218" s="680"/>
      <c r="C218" s="680"/>
      <c r="D218" s="680"/>
      <c r="E218" s="680"/>
      <c r="F218" s="680"/>
      <c r="G218" s="900"/>
      <c r="H218" s="682"/>
      <c r="I218" s="682"/>
      <c r="J218" s="682"/>
      <c r="K218" s="682"/>
      <c r="L218" s="682"/>
      <c r="M218" s="682"/>
      <c r="N218" s="682"/>
      <c r="O218" s="682"/>
      <c r="P218" s="682"/>
      <c r="Q218" s="682"/>
      <c r="R218" s="682"/>
      <c r="S218" s="682"/>
      <c r="T218" s="917"/>
      <c r="U218" s="682"/>
      <c r="V218" s="682"/>
      <c r="W218" s="682"/>
      <c r="X218" s="682"/>
      <c r="Y218" s="682"/>
      <c r="Z218" s="682"/>
      <c r="AA218" s="682"/>
      <c r="AB218" s="682"/>
      <c r="AC218" s="682"/>
      <c r="AD218" s="682"/>
      <c r="AE218" s="682"/>
      <c r="AF218" s="682"/>
      <c r="AG218" s="917"/>
      <c r="AH218" s="917"/>
      <c r="AI218" s="917"/>
      <c r="AJ218" s="917"/>
      <c r="AK218" s="924"/>
      <c r="AL218" s="924"/>
      <c r="AM218" s="924"/>
      <c r="AN218" s="924"/>
      <c r="AO218" s="995"/>
    </row>
    <row r="219" spans="1:42" s="18" customFormat="1" ht="13.15" customHeight="1" x14ac:dyDescent="0.2">
      <c r="A219" s="676" t="s">
        <v>448</v>
      </c>
      <c r="B219" s="676"/>
      <c r="C219" s="676"/>
      <c r="D219" s="676"/>
      <c r="E219" s="676"/>
      <c r="F219" s="676"/>
      <c r="G219" s="898"/>
      <c r="H219" s="678"/>
      <c r="I219" s="678"/>
      <c r="J219" s="678"/>
      <c r="K219" s="678"/>
      <c r="L219" s="678"/>
      <c r="M219" s="678"/>
      <c r="N219" s="678"/>
      <c r="O219" s="678"/>
      <c r="P219" s="678"/>
      <c r="Q219" s="678"/>
      <c r="R219" s="678"/>
      <c r="S219" s="678"/>
      <c r="T219" s="915"/>
      <c r="U219" s="678"/>
      <c r="V219" s="678"/>
      <c r="W219" s="678"/>
      <c r="X219" s="678"/>
      <c r="Y219" s="678"/>
      <c r="Z219" s="678"/>
      <c r="AA219" s="678"/>
      <c r="AB219" s="678"/>
      <c r="AC219" s="678"/>
      <c r="AD219" s="678"/>
      <c r="AE219" s="678"/>
      <c r="AF219" s="678"/>
      <c r="AG219" s="915"/>
      <c r="AH219" s="915"/>
      <c r="AI219" s="915"/>
      <c r="AJ219" s="915"/>
      <c r="AK219" s="924"/>
      <c r="AL219" s="924"/>
      <c r="AM219" s="924"/>
      <c r="AN219" s="924"/>
      <c r="AO219" s="995"/>
    </row>
    <row r="220" spans="1:42" s="18" customFormat="1" ht="13.15" customHeight="1" x14ac:dyDescent="0.2">
      <c r="A220" s="674" t="s">
        <v>250</v>
      </c>
      <c r="B220" s="674"/>
      <c r="C220" s="690">
        <f>$G220/12</f>
        <v>3750</v>
      </c>
      <c r="D220" s="690">
        <f t="shared" ref="D220:F220" si="585">$G220/12</f>
        <v>3750</v>
      </c>
      <c r="E220" s="690">
        <f t="shared" si="585"/>
        <v>3750</v>
      </c>
      <c r="F220" s="690">
        <f t="shared" si="585"/>
        <v>3750</v>
      </c>
      <c r="G220" s="899">
        <v>45000</v>
      </c>
      <c r="H220" s="690">
        <f t="shared" ref="H220:M220" si="586">$T220/12</f>
        <v>3750</v>
      </c>
      <c r="I220" s="690">
        <f t="shared" si="586"/>
        <v>3750</v>
      </c>
      <c r="J220" s="690">
        <f t="shared" si="586"/>
        <v>3750</v>
      </c>
      <c r="K220" s="690">
        <f t="shared" si="586"/>
        <v>3750</v>
      </c>
      <c r="L220" s="690">
        <f t="shared" si="586"/>
        <v>3750</v>
      </c>
      <c r="M220" s="690">
        <f t="shared" si="586"/>
        <v>3750</v>
      </c>
      <c r="N220" s="690">
        <f t="shared" ref="N220:S220" si="587">$T220/12</f>
        <v>3750</v>
      </c>
      <c r="O220" s="690">
        <f t="shared" si="587"/>
        <v>3750</v>
      </c>
      <c r="P220" s="690">
        <f t="shared" si="587"/>
        <v>3750</v>
      </c>
      <c r="Q220" s="690">
        <f t="shared" si="587"/>
        <v>3750</v>
      </c>
      <c r="R220" s="690">
        <f t="shared" si="587"/>
        <v>3750</v>
      </c>
      <c r="S220" s="690">
        <f t="shared" si="587"/>
        <v>3750</v>
      </c>
      <c r="T220" s="899">
        <v>45000</v>
      </c>
      <c r="U220" s="690">
        <f>$AG220/12</f>
        <v>3937.5</v>
      </c>
      <c r="V220" s="690">
        <f t="shared" ref="V220:AF220" si="588">$AG220/12</f>
        <v>3937.5</v>
      </c>
      <c r="W220" s="690">
        <f t="shared" si="588"/>
        <v>3937.5</v>
      </c>
      <c r="X220" s="690">
        <f t="shared" si="588"/>
        <v>3937.5</v>
      </c>
      <c r="Y220" s="690">
        <f t="shared" si="588"/>
        <v>3937.5</v>
      </c>
      <c r="Z220" s="690">
        <f t="shared" si="588"/>
        <v>3937.5</v>
      </c>
      <c r="AA220" s="690">
        <f t="shared" si="588"/>
        <v>3937.5</v>
      </c>
      <c r="AB220" s="690">
        <f t="shared" si="588"/>
        <v>3937.5</v>
      </c>
      <c r="AC220" s="690">
        <f t="shared" si="588"/>
        <v>3937.5</v>
      </c>
      <c r="AD220" s="690">
        <f t="shared" si="588"/>
        <v>3937.5</v>
      </c>
      <c r="AE220" s="690">
        <f t="shared" si="588"/>
        <v>3937.5</v>
      </c>
      <c r="AF220" s="690">
        <f t="shared" si="588"/>
        <v>3937.5</v>
      </c>
      <c r="AG220" s="902">
        <f>T220*(1+AG221)</f>
        <v>47250</v>
      </c>
      <c r="AH220" s="902">
        <f t="shared" ref="AH220:AO220" si="589">AG220*(1+AH221)</f>
        <v>49612.5</v>
      </c>
      <c r="AI220" s="902">
        <f t="shared" si="589"/>
        <v>51597</v>
      </c>
      <c r="AJ220" s="902">
        <f t="shared" si="589"/>
        <v>53144.91</v>
      </c>
      <c r="AK220" s="902">
        <f t="shared" si="589"/>
        <v>54207.808200000007</v>
      </c>
      <c r="AL220" s="902">
        <f t="shared" si="589"/>
        <v>54749.886282000007</v>
      </c>
      <c r="AM220" s="902">
        <f t="shared" si="589"/>
        <v>54749.886282000007</v>
      </c>
      <c r="AN220" s="902">
        <f t="shared" si="589"/>
        <v>54749.886282000007</v>
      </c>
      <c r="AO220" s="996">
        <f t="shared" si="589"/>
        <v>54749.886282000007</v>
      </c>
    </row>
    <row r="221" spans="1:42" s="987" customFormat="1" ht="13.15" customHeight="1" x14ac:dyDescent="0.2">
      <c r="A221" s="680" t="s">
        <v>324</v>
      </c>
      <c r="B221" s="680"/>
      <c r="C221" s="687"/>
      <c r="D221" s="687"/>
      <c r="E221" s="687"/>
      <c r="F221" s="687"/>
      <c r="G221" s="900"/>
      <c r="H221" s="687"/>
      <c r="I221" s="687"/>
      <c r="J221" s="687"/>
      <c r="K221" s="687"/>
      <c r="L221" s="687"/>
      <c r="M221" s="687"/>
      <c r="N221" s="687"/>
      <c r="O221" s="687"/>
      <c r="P221" s="687"/>
      <c r="Q221" s="687"/>
      <c r="R221" s="687"/>
      <c r="S221" s="687"/>
      <c r="T221" s="916"/>
      <c r="U221" s="687"/>
      <c r="V221" s="687"/>
      <c r="W221" s="687"/>
      <c r="X221" s="687"/>
      <c r="Y221" s="687"/>
      <c r="Z221" s="687"/>
      <c r="AA221" s="687"/>
      <c r="AB221" s="687"/>
      <c r="AC221" s="687"/>
      <c r="AD221" s="687"/>
      <c r="AE221" s="687"/>
      <c r="AF221" s="687"/>
      <c r="AG221" s="921">
        <v>0.05</v>
      </c>
      <c r="AH221" s="921">
        <v>0.05</v>
      </c>
      <c r="AI221" s="921">
        <f>AH221-1%</f>
        <v>0.04</v>
      </c>
      <c r="AJ221" s="921">
        <f>AI221-1%</f>
        <v>0.03</v>
      </c>
      <c r="AK221" s="921">
        <f>AJ221-1%</f>
        <v>1.9999999999999997E-2</v>
      </c>
      <c r="AL221" s="921">
        <f>AK221-1%</f>
        <v>9.9999999999999967E-3</v>
      </c>
      <c r="AM221" s="921">
        <f>AL221-1%</f>
        <v>0</v>
      </c>
      <c r="AN221" s="925">
        <f>AM221</f>
        <v>0</v>
      </c>
      <c r="AO221" s="997">
        <f>AN221</f>
        <v>0</v>
      </c>
    </row>
    <row r="222" spans="1:42" s="987" customFormat="1" ht="13.15" customHeight="1" x14ac:dyDescent="0.2">
      <c r="A222" s="680" t="s">
        <v>248</v>
      </c>
      <c r="B222" s="680"/>
      <c r="C222" s="687">
        <f t="shared" ref="C222:F222" si="590">C195</f>
        <v>0</v>
      </c>
      <c r="D222" s="687">
        <f t="shared" si="590"/>
        <v>0</v>
      </c>
      <c r="E222" s="687">
        <f t="shared" si="590"/>
        <v>0</v>
      </c>
      <c r="F222" s="687">
        <f t="shared" si="590"/>
        <v>0</v>
      </c>
      <c r="G222" s="900">
        <f>F222</f>
        <v>0</v>
      </c>
      <c r="H222" s="687">
        <f t="shared" ref="H222:M222" si="591">H195</f>
        <v>0</v>
      </c>
      <c r="I222" s="687">
        <f t="shared" si="591"/>
        <v>0</v>
      </c>
      <c r="J222" s="687">
        <f t="shared" si="591"/>
        <v>0</v>
      </c>
      <c r="K222" s="687">
        <f t="shared" si="591"/>
        <v>0</v>
      </c>
      <c r="L222" s="687">
        <f t="shared" si="591"/>
        <v>0</v>
      </c>
      <c r="M222" s="687">
        <f t="shared" si="591"/>
        <v>0</v>
      </c>
      <c r="N222" s="687">
        <f t="shared" ref="N222:S222" si="592">N195</f>
        <v>0</v>
      </c>
      <c r="O222" s="687">
        <f t="shared" si="592"/>
        <v>0</v>
      </c>
      <c r="P222" s="687">
        <f t="shared" si="592"/>
        <v>0</v>
      </c>
      <c r="Q222" s="687">
        <f t="shared" si="592"/>
        <v>0</v>
      </c>
      <c r="R222" s="687">
        <f t="shared" si="592"/>
        <v>0</v>
      </c>
      <c r="S222" s="687">
        <f t="shared" si="592"/>
        <v>0</v>
      </c>
      <c r="T222" s="916">
        <f>S222</f>
        <v>0</v>
      </c>
      <c r="U222" s="687">
        <f>U195</f>
        <v>0</v>
      </c>
      <c r="V222" s="687">
        <f t="shared" ref="V222:AF222" si="593">V195</f>
        <v>0</v>
      </c>
      <c r="W222" s="687">
        <f t="shared" si="593"/>
        <v>0</v>
      </c>
      <c r="X222" s="687">
        <f t="shared" si="593"/>
        <v>0</v>
      </c>
      <c r="Y222" s="687">
        <f t="shared" si="593"/>
        <v>0</v>
      </c>
      <c r="Z222" s="687">
        <f t="shared" si="593"/>
        <v>0</v>
      </c>
      <c r="AA222" s="687">
        <f t="shared" si="593"/>
        <v>0</v>
      </c>
      <c r="AB222" s="687">
        <f t="shared" si="593"/>
        <v>0</v>
      </c>
      <c r="AC222" s="687">
        <f t="shared" si="593"/>
        <v>0</v>
      </c>
      <c r="AD222" s="687">
        <f t="shared" si="593"/>
        <v>0</v>
      </c>
      <c r="AE222" s="687">
        <f t="shared" si="593"/>
        <v>0</v>
      </c>
      <c r="AF222" s="687">
        <f t="shared" si="593"/>
        <v>0</v>
      </c>
      <c r="AG222" s="916">
        <f>AF222</f>
        <v>0</v>
      </c>
      <c r="AH222" s="921">
        <f t="shared" ref="AH222:AO222" si="594">AH195</f>
        <v>6.0000000000000001E-3</v>
      </c>
      <c r="AI222" s="921">
        <f t="shared" si="594"/>
        <v>1.7999999999999999E-2</v>
      </c>
      <c r="AJ222" s="921">
        <f t="shared" si="594"/>
        <v>3.5999999999999997E-2</v>
      </c>
      <c r="AK222" s="921">
        <f t="shared" si="594"/>
        <v>7.1999999999999995E-2</v>
      </c>
      <c r="AL222" s="921">
        <f t="shared" si="594"/>
        <v>0.11</v>
      </c>
      <c r="AM222" s="921">
        <f t="shared" si="594"/>
        <v>0.13</v>
      </c>
      <c r="AN222" s="921">
        <f t="shared" si="594"/>
        <v>0.15</v>
      </c>
      <c r="AO222" s="1004">
        <f t="shared" si="594"/>
        <v>0.17</v>
      </c>
    </row>
    <row r="223" spans="1:42" s="18" customFormat="1" ht="13.15" customHeight="1" x14ac:dyDescent="0.2">
      <c r="A223" s="680" t="s">
        <v>251</v>
      </c>
      <c r="B223" s="680"/>
      <c r="C223" s="690">
        <f t="shared" ref="C223:F223" si="595">C220*C222</f>
        <v>0</v>
      </c>
      <c r="D223" s="690">
        <f t="shared" si="595"/>
        <v>0</v>
      </c>
      <c r="E223" s="690">
        <f t="shared" si="595"/>
        <v>0</v>
      </c>
      <c r="F223" s="690">
        <f t="shared" si="595"/>
        <v>0</v>
      </c>
      <c r="G223" s="902">
        <f>SUM(C223:F223)</f>
        <v>0</v>
      </c>
      <c r="H223" s="690">
        <f t="shared" ref="H223:M223" si="596">H220*H222</f>
        <v>0</v>
      </c>
      <c r="I223" s="690">
        <f t="shared" si="596"/>
        <v>0</v>
      </c>
      <c r="J223" s="690">
        <f t="shared" si="596"/>
        <v>0</v>
      </c>
      <c r="K223" s="690">
        <f t="shared" si="596"/>
        <v>0</v>
      </c>
      <c r="L223" s="690">
        <f t="shared" si="596"/>
        <v>0</v>
      </c>
      <c r="M223" s="690">
        <f t="shared" si="596"/>
        <v>0</v>
      </c>
      <c r="N223" s="690">
        <f t="shared" ref="N223:S223" si="597">N220*N222</f>
        <v>0</v>
      </c>
      <c r="O223" s="690">
        <f t="shared" si="597"/>
        <v>0</v>
      </c>
      <c r="P223" s="690">
        <f t="shared" si="597"/>
        <v>0</v>
      </c>
      <c r="Q223" s="690">
        <f t="shared" si="597"/>
        <v>0</v>
      </c>
      <c r="R223" s="690">
        <f t="shared" si="597"/>
        <v>0</v>
      </c>
      <c r="S223" s="690">
        <f t="shared" si="597"/>
        <v>0</v>
      </c>
      <c r="T223" s="917">
        <f>SUM(H223:S223)</f>
        <v>0</v>
      </c>
      <c r="U223" s="690">
        <f t="shared" ref="U223:AF223" si="598">U220*U222</f>
        <v>0</v>
      </c>
      <c r="V223" s="690">
        <f t="shared" si="598"/>
        <v>0</v>
      </c>
      <c r="W223" s="690">
        <f t="shared" si="598"/>
        <v>0</v>
      </c>
      <c r="X223" s="690">
        <f t="shared" si="598"/>
        <v>0</v>
      </c>
      <c r="Y223" s="690">
        <f t="shared" si="598"/>
        <v>0</v>
      </c>
      <c r="Z223" s="690">
        <f t="shared" si="598"/>
        <v>0</v>
      </c>
      <c r="AA223" s="690">
        <f t="shared" si="598"/>
        <v>0</v>
      </c>
      <c r="AB223" s="690">
        <f t="shared" si="598"/>
        <v>0</v>
      </c>
      <c r="AC223" s="690">
        <f t="shared" si="598"/>
        <v>0</v>
      </c>
      <c r="AD223" s="690">
        <f t="shared" si="598"/>
        <v>0</v>
      </c>
      <c r="AE223" s="690">
        <f t="shared" si="598"/>
        <v>0</v>
      </c>
      <c r="AF223" s="690">
        <f t="shared" si="598"/>
        <v>0</v>
      </c>
      <c r="AG223" s="902">
        <f>SUM(U223:AF223)</f>
        <v>0</v>
      </c>
      <c r="AH223" s="902">
        <f>AH220*AVERAGE(AF222,AH222)</f>
        <v>148.83750000000001</v>
      </c>
      <c r="AI223" s="902">
        <f t="shared" ref="AI223:AO223" si="599">AI220*AVERAGE(AH222,AI222)</f>
        <v>619.16399999999999</v>
      </c>
      <c r="AJ223" s="902">
        <f t="shared" si="599"/>
        <v>1434.91257</v>
      </c>
      <c r="AK223" s="902">
        <f t="shared" si="599"/>
        <v>2927.2216428000002</v>
      </c>
      <c r="AL223" s="902">
        <f t="shared" si="599"/>
        <v>4982.2396516620001</v>
      </c>
      <c r="AM223" s="902">
        <f t="shared" si="599"/>
        <v>6569.9863538400004</v>
      </c>
      <c r="AN223" s="902">
        <f t="shared" si="599"/>
        <v>7664.984079480002</v>
      </c>
      <c r="AO223" s="996">
        <f t="shared" si="599"/>
        <v>8759.9818051200018</v>
      </c>
    </row>
    <row r="224" spans="1:42" s="18" customFormat="1" ht="13.15" customHeight="1" x14ac:dyDescent="0.2">
      <c r="A224" s="680" t="s">
        <v>249</v>
      </c>
      <c r="B224" s="680"/>
      <c r="C224" s="686">
        <v>1.5</v>
      </c>
      <c r="D224" s="686">
        <f>C224</f>
        <v>1.5</v>
      </c>
      <c r="E224" s="686">
        <f t="shared" ref="E224:F224" si="600">D224</f>
        <v>1.5</v>
      </c>
      <c r="F224" s="686">
        <f t="shared" si="600"/>
        <v>1.5</v>
      </c>
      <c r="G224" s="903">
        <f>F224</f>
        <v>1.5</v>
      </c>
      <c r="H224" s="686">
        <f>F224</f>
        <v>1.5</v>
      </c>
      <c r="I224" s="686">
        <f>H224</f>
        <v>1.5</v>
      </c>
      <c r="J224" s="686">
        <f t="shared" ref="J224:S224" si="601">I224</f>
        <v>1.5</v>
      </c>
      <c r="K224" s="686">
        <f t="shared" si="601"/>
        <v>1.5</v>
      </c>
      <c r="L224" s="686">
        <f t="shared" si="601"/>
        <v>1.5</v>
      </c>
      <c r="M224" s="686">
        <f t="shared" si="601"/>
        <v>1.5</v>
      </c>
      <c r="N224" s="686">
        <f t="shared" si="601"/>
        <v>1.5</v>
      </c>
      <c r="O224" s="686">
        <f t="shared" si="601"/>
        <v>1.5</v>
      </c>
      <c r="P224" s="686">
        <f t="shared" si="601"/>
        <v>1.5</v>
      </c>
      <c r="Q224" s="686">
        <f t="shared" si="601"/>
        <v>1.5</v>
      </c>
      <c r="R224" s="686">
        <f t="shared" si="601"/>
        <v>1.5</v>
      </c>
      <c r="S224" s="686">
        <f t="shared" si="601"/>
        <v>1.5</v>
      </c>
      <c r="T224" s="903">
        <f t="shared" ref="T224" si="602">S224</f>
        <v>1.5</v>
      </c>
      <c r="U224" s="686">
        <f>S224</f>
        <v>1.5</v>
      </c>
      <c r="V224" s="686">
        <f t="shared" ref="V224:AG224" si="603">U224</f>
        <v>1.5</v>
      </c>
      <c r="W224" s="686">
        <f t="shared" si="603"/>
        <v>1.5</v>
      </c>
      <c r="X224" s="686">
        <f t="shared" si="603"/>
        <v>1.5</v>
      </c>
      <c r="Y224" s="686">
        <f t="shared" si="603"/>
        <v>1.5</v>
      </c>
      <c r="Z224" s="686">
        <f t="shared" si="603"/>
        <v>1.5</v>
      </c>
      <c r="AA224" s="686">
        <f t="shared" si="603"/>
        <v>1.5</v>
      </c>
      <c r="AB224" s="686">
        <f t="shared" si="603"/>
        <v>1.5</v>
      </c>
      <c r="AC224" s="686">
        <f t="shared" si="603"/>
        <v>1.5</v>
      </c>
      <c r="AD224" s="686">
        <f t="shared" si="603"/>
        <v>1.5</v>
      </c>
      <c r="AE224" s="686">
        <f t="shared" si="603"/>
        <v>1.5</v>
      </c>
      <c r="AF224" s="686">
        <f t="shared" si="603"/>
        <v>1.5</v>
      </c>
      <c r="AG224" s="919">
        <f t="shared" si="603"/>
        <v>1.5</v>
      </c>
      <c r="AH224" s="919">
        <f>AF224</f>
        <v>1.5</v>
      </c>
      <c r="AI224" s="919">
        <f t="shared" ref="AI224:AO224" si="604">AH224</f>
        <v>1.5</v>
      </c>
      <c r="AJ224" s="919">
        <f t="shared" si="604"/>
        <v>1.5</v>
      </c>
      <c r="AK224" s="919">
        <f t="shared" si="604"/>
        <v>1.5</v>
      </c>
      <c r="AL224" s="919">
        <f t="shared" si="604"/>
        <v>1.5</v>
      </c>
      <c r="AM224" s="919">
        <f t="shared" si="604"/>
        <v>1.5</v>
      </c>
      <c r="AN224" s="919">
        <f t="shared" si="604"/>
        <v>1.5</v>
      </c>
      <c r="AO224" s="998">
        <f t="shared" si="604"/>
        <v>1.5</v>
      </c>
    </row>
    <row r="225" spans="1:42" s="18" customFormat="1" ht="13.15" customHeight="1" x14ac:dyDescent="0.2">
      <c r="A225" s="680" t="s">
        <v>255</v>
      </c>
      <c r="B225" s="680"/>
      <c r="C225" s="690">
        <f t="shared" ref="C225:F225" si="605">C223*C224</f>
        <v>0</v>
      </c>
      <c r="D225" s="690">
        <f t="shared" si="605"/>
        <v>0</v>
      </c>
      <c r="E225" s="690">
        <f t="shared" si="605"/>
        <v>0</v>
      </c>
      <c r="F225" s="690">
        <f t="shared" si="605"/>
        <v>0</v>
      </c>
      <c r="G225" s="902">
        <f>SUM(C225:F225)</f>
        <v>0</v>
      </c>
      <c r="H225" s="690">
        <f t="shared" ref="H225:M225" si="606">H223*H224</f>
        <v>0</v>
      </c>
      <c r="I225" s="690">
        <f t="shared" si="606"/>
        <v>0</v>
      </c>
      <c r="J225" s="690">
        <f t="shared" si="606"/>
        <v>0</v>
      </c>
      <c r="K225" s="690">
        <f t="shared" si="606"/>
        <v>0</v>
      </c>
      <c r="L225" s="690">
        <f t="shared" si="606"/>
        <v>0</v>
      </c>
      <c r="M225" s="690">
        <f t="shared" si="606"/>
        <v>0</v>
      </c>
      <c r="N225" s="690">
        <f t="shared" ref="N225:S225" si="607">N223*N224</f>
        <v>0</v>
      </c>
      <c r="O225" s="690">
        <f t="shared" si="607"/>
        <v>0</v>
      </c>
      <c r="P225" s="690">
        <f t="shared" si="607"/>
        <v>0</v>
      </c>
      <c r="Q225" s="690">
        <f t="shared" si="607"/>
        <v>0</v>
      </c>
      <c r="R225" s="690">
        <f t="shared" si="607"/>
        <v>0</v>
      </c>
      <c r="S225" s="690">
        <f t="shared" si="607"/>
        <v>0</v>
      </c>
      <c r="T225" s="918">
        <f>SUM(H225:S225)</f>
        <v>0</v>
      </c>
      <c r="U225" s="690">
        <f t="shared" ref="U225:AF225" si="608">U223*U224</f>
        <v>0</v>
      </c>
      <c r="V225" s="690">
        <f t="shared" si="608"/>
        <v>0</v>
      </c>
      <c r="W225" s="690">
        <f t="shared" si="608"/>
        <v>0</v>
      </c>
      <c r="X225" s="690">
        <f t="shared" si="608"/>
        <v>0</v>
      </c>
      <c r="Y225" s="690">
        <f t="shared" si="608"/>
        <v>0</v>
      </c>
      <c r="Z225" s="690">
        <f t="shared" si="608"/>
        <v>0</v>
      </c>
      <c r="AA225" s="690">
        <f t="shared" si="608"/>
        <v>0</v>
      </c>
      <c r="AB225" s="690">
        <f t="shared" si="608"/>
        <v>0</v>
      </c>
      <c r="AC225" s="690">
        <f t="shared" si="608"/>
        <v>0</v>
      </c>
      <c r="AD225" s="690">
        <f t="shared" si="608"/>
        <v>0</v>
      </c>
      <c r="AE225" s="690">
        <f t="shared" si="608"/>
        <v>0</v>
      </c>
      <c r="AF225" s="690">
        <f t="shared" si="608"/>
        <v>0</v>
      </c>
      <c r="AG225" s="918">
        <f>SUM(U225:AF225)</f>
        <v>0</v>
      </c>
      <c r="AH225" s="902">
        <f t="shared" ref="AH225:AO225" si="609">AH223*AH224</f>
        <v>223.25625000000002</v>
      </c>
      <c r="AI225" s="902">
        <f t="shared" si="609"/>
        <v>928.74599999999998</v>
      </c>
      <c r="AJ225" s="902">
        <f t="shared" si="609"/>
        <v>2152.3688549999997</v>
      </c>
      <c r="AK225" s="902">
        <f t="shared" si="609"/>
        <v>4390.8324642000007</v>
      </c>
      <c r="AL225" s="902">
        <f t="shared" si="609"/>
        <v>7473.3594774930007</v>
      </c>
      <c r="AM225" s="902">
        <f t="shared" si="609"/>
        <v>9854.9795307599998</v>
      </c>
      <c r="AN225" s="902">
        <f t="shared" si="609"/>
        <v>11497.476119220002</v>
      </c>
      <c r="AO225" s="996">
        <f t="shared" si="609"/>
        <v>13139.972707680003</v>
      </c>
    </row>
    <row r="226" spans="1:42" s="34" customFormat="1" ht="12.4" customHeight="1" x14ac:dyDescent="0.2">
      <c r="A226" s="1"/>
      <c r="B226" s="1"/>
      <c r="C226" s="1"/>
      <c r="D226" s="1"/>
      <c r="E226" s="1"/>
      <c r="F226" s="1"/>
      <c r="G226" s="26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6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268"/>
      <c r="AH226" s="268"/>
      <c r="AI226" s="268"/>
      <c r="AJ226" s="268"/>
      <c r="AK226" s="268"/>
      <c r="AL226" s="268"/>
      <c r="AM226" s="268"/>
      <c r="AN226" s="268"/>
      <c r="AO226" s="999"/>
      <c r="AP226" s="18"/>
    </row>
    <row r="227" spans="1:42" s="18" customFormat="1" ht="13.15" customHeight="1" x14ac:dyDescent="0.2">
      <c r="A227" s="680" t="s">
        <v>253</v>
      </c>
      <c r="B227" s="680"/>
      <c r="C227" s="689">
        <v>0</v>
      </c>
      <c r="D227" s="689">
        <v>0</v>
      </c>
      <c r="E227" s="689">
        <v>0</v>
      </c>
      <c r="F227" s="689">
        <v>0</v>
      </c>
      <c r="G227" s="902">
        <f>F227</f>
        <v>0</v>
      </c>
      <c r="H227" s="689">
        <v>0</v>
      </c>
      <c r="I227" s="689">
        <v>0</v>
      </c>
      <c r="J227" s="689">
        <v>0</v>
      </c>
      <c r="K227" s="689">
        <v>0</v>
      </c>
      <c r="L227" s="689">
        <v>0</v>
      </c>
      <c r="M227" s="689">
        <v>0</v>
      </c>
      <c r="N227" s="689">
        <v>0</v>
      </c>
      <c r="O227" s="689">
        <v>0</v>
      </c>
      <c r="P227" s="689">
        <v>0</v>
      </c>
      <c r="Q227" s="689">
        <v>0</v>
      </c>
      <c r="R227" s="689">
        <v>0</v>
      </c>
      <c r="S227" s="689">
        <v>0</v>
      </c>
      <c r="T227" s="902">
        <f>S227</f>
        <v>0</v>
      </c>
      <c r="U227" s="689">
        <f>S227</f>
        <v>0</v>
      </c>
      <c r="V227" s="689">
        <f t="shared" ref="V227:AG227" si="610">U227</f>
        <v>0</v>
      </c>
      <c r="W227" s="689">
        <f t="shared" si="610"/>
        <v>0</v>
      </c>
      <c r="X227" s="689">
        <f t="shared" si="610"/>
        <v>0</v>
      </c>
      <c r="Y227" s="689">
        <f t="shared" si="610"/>
        <v>0</v>
      </c>
      <c r="Z227" s="689">
        <f t="shared" si="610"/>
        <v>0</v>
      </c>
      <c r="AA227" s="689">
        <f t="shared" si="610"/>
        <v>0</v>
      </c>
      <c r="AB227" s="689">
        <f t="shared" si="610"/>
        <v>0</v>
      </c>
      <c r="AC227" s="689">
        <f t="shared" si="610"/>
        <v>0</v>
      </c>
      <c r="AD227" s="689">
        <f t="shared" si="610"/>
        <v>0</v>
      </c>
      <c r="AE227" s="689">
        <f t="shared" si="610"/>
        <v>0</v>
      </c>
      <c r="AF227" s="689">
        <f t="shared" si="610"/>
        <v>0</v>
      </c>
      <c r="AG227" s="902">
        <f t="shared" si="610"/>
        <v>0</v>
      </c>
      <c r="AH227" s="899">
        <f>AF227</f>
        <v>0</v>
      </c>
      <c r="AI227" s="899">
        <f t="shared" ref="AI227:AO227" si="611">AH227</f>
        <v>0</v>
      </c>
      <c r="AJ227" s="899">
        <f t="shared" si="611"/>
        <v>0</v>
      </c>
      <c r="AK227" s="899">
        <f t="shared" si="611"/>
        <v>0</v>
      </c>
      <c r="AL227" s="899">
        <f t="shared" si="611"/>
        <v>0</v>
      </c>
      <c r="AM227" s="899">
        <f t="shared" si="611"/>
        <v>0</v>
      </c>
      <c r="AN227" s="899">
        <f t="shared" si="611"/>
        <v>0</v>
      </c>
      <c r="AO227" s="1000">
        <f t="shared" si="611"/>
        <v>0</v>
      </c>
    </row>
    <row r="228" spans="1:42" s="18" customFormat="1" ht="13.15" customHeight="1" x14ac:dyDescent="0.2">
      <c r="A228" s="680" t="s">
        <v>252</v>
      </c>
      <c r="B228" s="680"/>
      <c r="C228" s="689">
        <v>0</v>
      </c>
      <c r="D228" s="689">
        <v>0</v>
      </c>
      <c r="E228" s="689">
        <v>0</v>
      </c>
      <c r="F228" s="689">
        <v>0</v>
      </c>
      <c r="G228" s="902">
        <f>SUM(C228:F228)</f>
        <v>0</v>
      </c>
      <c r="H228" s="689">
        <v>0</v>
      </c>
      <c r="I228" s="689">
        <v>0</v>
      </c>
      <c r="J228" s="689">
        <v>0</v>
      </c>
      <c r="K228" s="689">
        <v>0</v>
      </c>
      <c r="L228" s="689">
        <v>0</v>
      </c>
      <c r="M228" s="689">
        <v>0</v>
      </c>
      <c r="N228" s="689">
        <f t="shared" ref="N228:S228" si="612">100/12</f>
        <v>8.3333333333333339</v>
      </c>
      <c r="O228" s="689">
        <f t="shared" si="612"/>
        <v>8.3333333333333339</v>
      </c>
      <c r="P228" s="689">
        <f t="shared" si="612"/>
        <v>8.3333333333333339</v>
      </c>
      <c r="Q228" s="689">
        <f t="shared" si="612"/>
        <v>8.3333333333333339</v>
      </c>
      <c r="R228" s="689">
        <f t="shared" si="612"/>
        <v>8.3333333333333339</v>
      </c>
      <c r="S228" s="689">
        <f t="shared" si="612"/>
        <v>8.3333333333333339</v>
      </c>
      <c r="T228" s="917">
        <f>SUM(H228:S228)</f>
        <v>50.000000000000007</v>
      </c>
      <c r="U228" s="689">
        <f t="shared" ref="U228:AF228" si="613">100/12</f>
        <v>8.3333333333333339</v>
      </c>
      <c r="V228" s="689">
        <f t="shared" si="613"/>
        <v>8.3333333333333339</v>
      </c>
      <c r="W228" s="689">
        <f t="shared" si="613"/>
        <v>8.3333333333333339</v>
      </c>
      <c r="X228" s="689">
        <f t="shared" si="613"/>
        <v>8.3333333333333339</v>
      </c>
      <c r="Y228" s="689">
        <f t="shared" si="613"/>
        <v>8.3333333333333339</v>
      </c>
      <c r="Z228" s="689">
        <f t="shared" si="613"/>
        <v>8.3333333333333339</v>
      </c>
      <c r="AA228" s="689">
        <f t="shared" si="613"/>
        <v>8.3333333333333339</v>
      </c>
      <c r="AB228" s="689">
        <f t="shared" si="613"/>
        <v>8.3333333333333339</v>
      </c>
      <c r="AC228" s="689">
        <f t="shared" si="613"/>
        <v>8.3333333333333339</v>
      </c>
      <c r="AD228" s="689">
        <f t="shared" si="613"/>
        <v>8.3333333333333339</v>
      </c>
      <c r="AE228" s="689">
        <f t="shared" si="613"/>
        <v>8.3333333333333339</v>
      </c>
      <c r="AF228" s="689">
        <f t="shared" si="613"/>
        <v>8.3333333333333339</v>
      </c>
      <c r="AG228" s="917">
        <f>SUM(U228:AF228)</f>
        <v>99.999999999999986</v>
      </c>
      <c r="AH228" s="899">
        <v>100</v>
      </c>
      <c r="AI228" s="899">
        <v>100</v>
      </c>
      <c r="AJ228" s="899">
        <v>100</v>
      </c>
      <c r="AK228" s="899">
        <v>100</v>
      </c>
      <c r="AL228" s="899">
        <v>100</v>
      </c>
      <c r="AM228" s="899">
        <v>100</v>
      </c>
      <c r="AN228" s="899">
        <v>100</v>
      </c>
      <c r="AO228" s="1000">
        <v>100</v>
      </c>
    </row>
    <row r="229" spans="1:42" s="18" customFormat="1" ht="13.15" customHeight="1" x14ac:dyDescent="0.2">
      <c r="A229" s="680" t="s">
        <v>254</v>
      </c>
      <c r="B229" s="680"/>
      <c r="C229" s="690">
        <f t="shared" ref="C229:F229" si="614">C227*C228</f>
        <v>0</v>
      </c>
      <c r="D229" s="690">
        <f t="shared" si="614"/>
        <v>0</v>
      </c>
      <c r="E229" s="690">
        <f t="shared" si="614"/>
        <v>0</v>
      </c>
      <c r="F229" s="690">
        <f t="shared" si="614"/>
        <v>0</v>
      </c>
      <c r="G229" s="902">
        <f>SUM(C229:F229)</f>
        <v>0</v>
      </c>
      <c r="H229" s="690">
        <f t="shared" ref="H229:M229" si="615">H227*H228</f>
        <v>0</v>
      </c>
      <c r="I229" s="690">
        <f t="shared" si="615"/>
        <v>0</v>
      </c>
      <c r="J229" s="690">
        <f t="shared" si="615"/>
        <v>0</v>
      </c>
      <c r="K229" s="690">
        <f t="shared" si="615"/>
        <v>0</v>
      </c>
      <c r="L229" s="690">
        <f t="shared" si="615"/>
        <v>0</v>
      </c>
      <c r="M229" s="690">
        <f t="shared" si="615"/>
        <v>0</v>
      </c>
      <c r="N229" s="690">
        <f t="shared" ref="N229:S229" si="616">N227*N228</f>
        <v>0</v>
      </c>
      <c r="O229" s="690">
        <f t="shared" si="616"/>
        <v>0</v>
      </c>
      <c r="P229" s="690">
        <f t="shared" si="616"/>
        <v>0</v>
      </c>
      <c r="Q229" s="690">
        <f t="shared" si="616"/>
        <v>0</v>
      </c>
      <c r="R229" s="690">
        <f t="shared" si="616"/>
        <v>0</v>
      </c>
      <c r="S229" s="690">
        <f t="shared" si="616"/>
        <v>0</v>
      </c>
      <c r="T229" s="917">
        <f>SUM(H229:S229)</f>
        <v>0</v>
      </c>
      <c r="U229" s="690">
        <f t="shared" ref="U229:AF229" si="617">U227*U228</f>
        <v>0</v>
      </c>
      <c r="V229" s="690">
        <f t="shared" si="617"/>
        <v>0</v>
      </c>
      <c r="W229" s="690">
        <f t="shared" si="617"/>
        <v>0</v>
      </c>
      <c r="X229" s="690">
        <f t="shared" si="617"/>
        <v>0</v>
      </c>
      <c r="Y229" s="690">
        <f t="shared" si="617"/>
        <v>0</v>
      </c>
      <c r="Z229" s="690">
        <f t="shared" si="617"/>
        <v>0</v>
      </c>
      <c r="AA229" s="690">
        <f t="shared" si="617"/>
        <v>0</v>
      </c>
      <c r="AB229" s="690">
        <f t="shared" si="617"/>
        <v>0</v>
      </c>
      <c r="AC229" s="690">
        <f t="shared" si="617"/>
        <v>0</v>
      </c>
      <c r="AD229" s="690">
        <f t="shared" si="617"/>
        <v>0</v>
      </c>
      <c r="AE229" s="690">
        <f t="shared" si="617"/>
        <v>0</v>
      </c>
      <c r="AF229" s="690">
        <f t="shared" si="617"/>
        <v>0</v>
      </c>
      <c r="AG229" s="902">
        <f>SUM(U229:AF229)</f>
        <v>0</v>
      </c>
      <c r="AH229" s="902">
        <f t="shared" ref="AH229:AO229" si="618">AH227*AH228</f>
        <v>0</v>
      </c>
      <c r="AI229" s="902">
        <f t="shared" si="618"/>
        <v>0</v>
      </c>
      <c r="AJ229" s="902">
        <f t="shared" si="618"/>
        <v>0</v>
      </c>
      <c r="AK229" s="902">
        <f t="shared" si="618"/>
        <v>0</v>
      </c>
      <c r="AL229" s="902">
        <f t="shared" si="618"/>
        <v>0</v>
      </c>
      <c r="AM229" s="902">
        <f t="shared" si="618"/>
        <v>0</v>
      </c>
      <c r="AN229" s="902">
        <f t="shared" si="618"/>
        <v>0</v>
      </c>
      <c r="AO229" s="996">
        <f t="shared" si="618"/>
        <v>0</v>
      </c>
    </row>
    <row r="230" spans="1:42" s="18" customFormat="1" ht="13.15" customHeight="1" x14ac:dyDescent="0.2">
      <c r="A230" s="680" t="s">
        <v>249</v>
      </c>
      <c r="B230" s="680"/>
      <c r="C230" s="686">
        <f t="shared" ref="C230:F230" si="619">C224</f>
        <v>1.5</v>
      </c>
      <c r="D230" s="686">
        <f t="shared" si="619"/>
        <v>1.5</v>
      </c>
      <c r="E230" s="686">
        <f t="shared" si="619"/>
        <v>1.5</v>
      </c>
      <c r="F230" s="686">
        <f t="shared" si="619"/>
        <v>1.5</v>
      </c>
      <c r="G230" s="903">
        <f>F230</f>
        <v>1.5</v>
      </c>
      <c r="H230" s="686">
        <f t="shared" ref="H230:M230" si="620">H224</f>
        <v>1.5</v>
      </c>
      <c r="I230" s="686">
        <f t="shared" si="620"/>
        <v>1.5</v>
      </c>
      <c r="J230" s="686">
        <f t="shared" si="620"/>
        <v>1.5</v>
      </c>
      <c r="K230" s="686">
        <f t="shared" si="620"/>
        <v>1.5</v>
      </c>
      <c r="L230" s="686">
        <f t="shared" si="620"/>
        <v>1.5</v>
      </c>
      <c r="M230" s="686">
        <f t="shared" si="620"/>
        <v>1.5</v>
      </c>
      <c r="N230" s="686">
        <f t="shared" ref="N230:AO230" si="621">N224</f>
        <v>1.5</v>
      </c>
      <c r="O230" s="686">
        <f t="shared" si="621"/>
        <v>1.5</v>
      </c>
      <c r="P230" s="686">
        <f t="shared" si="621"/>
        <v>1.5</v>
      </c>
      <c r="Q230" s="686">
        <f t="shared" si="621"/>
        <v>1.5</v>
      </c>
      <c r="R230" s="686">
        <f t="shared" si="621"/>
        <v>1.5</v>
      </c>
      <c r="S230" s="686">
        <f t="shared" si="621"/>
        <v>1.5</v>
      </c>
      <c r="T230" s="919">
        <f t="shared" si="621"/>
        <v>1.5</v>
      </c>
      <c r="U230" s="686">
        <f t="shared" si="621"/>
        <v>1.5</v>
      </c>
      <c r="V230" s="686">
        <f t="shared" si="621"/>
        <v>1.5</v>
      </c>
      <c r="W230" s="686">
        <f t="shared" si="621"/>
        <v>1.5</v>
      </c>
      <c r="X230" s="686">
        <f t="shared" si="621"/>
        <v>1.5</v>
      </c>
      <c r="Y230" s="686">
        <f t="shared" si="621"/>
        <v>1.5</v>
      </c>
      <c r="Z230" s="686">
        <f t="shared" si="621"/>
        <v>1.5</v>
      </c>
      <c r="AA230" s="686">
        <f t="shared" si="621"/>
        <v>1.5</v>
      </c>
      <c r="AB230" s="686">
        <f t="shared" si="621"/>
        <v>1.5</v>
      </c>
      <c r="AC230" s="686">
        <f t="shared" si="621"/>
        <v>1.5</v>
      </c>
      <c r="AD230" s="686">
        <f t="shared" si="621"/>
        <v>1.5</v>
      </c>
      <c r="AE230" s="686">
        <f t="shared" si="621"/>
        <v>1.5</v>
      </c>
      <c r="AF230" s="686">
        <f t="shared" si="621"/>
        <v>1.5</v>
      </c>
      <c r="AG230" s="919">
        <f t="shared" si="621"/>
        <v>1.5</v>
      </c>
      <c r="AH230" s="919">
        <f t="shared" si="621"/>
        <v>1.5</v>
      </c>
      <c r="AI230" s="919">
        <f t="shared" si="621"/>
        <v>1.5</v>
      </c>
      <c r="AJ230" s="919">
        <f t="shared" si="621"/>
        <v>1.5</v>
      </c>
      <c r="AK230" s="919">
        <f t="shared" si="621"/>
        <v>1.5</v>
      </c>
      <c r="AL230" s="919">
        <f t="shared" si="621"/>
        <v>1.5</v>
      </c>
      <c r="AM230" s="919">
        <f t="shared" si="621"/>
        <v>1.5</v>
      </c>
      <c r="AN230" s="919">
        <f t="shared" si="621"/>
        <v>1.5</v>
      </c>
      <c r="AO230" s="998">
        <f t="shared" si="621"/>
        <v>1.5</v>
      </c>
    </row>
    <row r="231" spans="1:42" s="18" customFormat="1" ht="13.15" customHeight="1" x14ac:dyDescent="0.2">
      <c r="A231" s="680" t="s">
        <v>255</v>
      </c>
      <c r="B231" s="680"/>
      <c r="C231" s="690">
        <f t="shared" ref="C231:F231" si="622">C229*C230</f>
        <v>0</v>
      </c>
      <c r="D231" s="690">
        <f t="shared" si="622"/>
        <v>0</v>
      </c>
      <c r="E231" s="690">
        <f t="shared" si="622"/>
        <v>0</v>
      </c>
      <c r="F231" s="690">
        <f t="shared" si="622"/>
        <v>0</v>
      </c>
      <c r="G231" s="902">
        <f>SUM(C231:F231)</f>
        <v>0</v>
      </c>
      <c r="H231" s="690">
        <f t="shared" ref="H231:M231" si="623">H229*H230</f>
        <v>0</v>
      </c>
      <c r="I231" s="690">
        <f t="shared" si="623"/>
        <v>0</v>
      </c>
      <c r="J231" s="690">
        <f t="shared" si="623"/>
        <v>0</v>
      </c>
      <c r="K231" s="690">
        <f t="shared" si="623"/>
        <v>0</v>
      </c>
      <c r="L231" s="690">
        <f t="shared" si="623"/>
        <v>0</v>
      </c>
      <c r="M231" s="690">
        <f t="shared" si="623"/>
        <v>0</v>
      </c>
      <c r="N231" s="690">
        <f t="shared" ref="N231:S231" si="624">N229*N230</f>
        <v>0</v>
      </c>
      <c r="O231" s="690">
        <f t="shared" si="624"/>
        <v>0</v>
      </c>
      <c r="P231" s="690">
        <f t="shared" si="624"/>
        <v>0</v>
      </c>
      <c r="Q231" s="690">
        <f t="shared" si="624"/>
        <v>0</v>
      </c>
      <c r="R231" s="690">
        <f t="shared" si="624"/>
        <v>0</v>
      </c>
      <c r="S231" s="690">
        <f t="shared" si="624"/>
        <v>0</v>
      </c>
      <c r="T231" s="918">
        <f>SUM(H231:S231)</f>
        <v>0</v>
      </c>
      <c r="U231" s="690">
        <f t="shared" ref="U231:AF231" si="625">U229*U230</f>
        <v>0</v>
      </c>
      <c r="V231" s="690">
        <f t="shared" si="625"/>
        <v>0</v>
      </c>
      <c r="W231" s="690">
        <f t="shared" si="625"/>
        <v>0</v>
      </c>
      <c r="X231" s="690">
        <f t="shared" si="625"/>
        <v>0</v>
      </c>
      <c r="Y231" s="690">
        <f t="shared" si="625"/>
        <v>0</v>
      </c>
      <c r="Z231" s="690">
        <f t="shared" si="625"/>
        <v>0</v>
      </c>
      <c r="AA231" s="690">
        <f t="shared" si="625"/>
        <v>0</v>
      </c>
      <c r="AB231" s="690">
        <f t="shared" si="625"/>
        <v>0</v>
      </c>
      <c r="AC231" s="690">
        <f t="shared" si="625"/>
        <v>0</v>
      </c>
      <c r="AD231" s="690">
        <f t="shared" si="625"/>
        <v>0</v>
      </c>
      <c r="AE231" s="690">
        <f t="shared" si="625"/>
        <v>0</v>
      </c>
      <c r="AF231" s="690">
        <f t="shared" si="625"/>
        <v>0</v>
      </c>
      <c r="AG231" s="918">
        <f>SUM(U231:AF231)</f>
        <v>0</v>
      </c>
      <c r="AH231" s="902">
        <f t="shared" ref="AH231:AO231" si="626">AH229*AH230</f>
        <v>0</v>
      </c>
      <c r="AI231" s="902">
        <f t="shared" si="626"/>
        <v>0</v>
      </c>
      <c r="AJ231" s="902">
        <f t="shared" si="626"/>
        <v>0</v>
      </c>
      <c r="AK231" s="902">
        <f t="shared" si="626"/>
        <v>0</v>
      </c>
      <c r="AL231" s="902">
        <f t="shared" si="626"/>
        <v>0</v>
      </c>
      <c r="AM231" s="902">
        <f t="shared" si="626"/>
        <v>0</v>
      </c>
      <c r="AN231" s="902">
        <f t="shared" si="626"/>
        <v>0</v>
      </c>
      <c r="AO231" s="996">
        <f t="shared" si="626"/>
        <v>0</v>
      </c>
    </row>
    <row r="232" spans="1:42" s="18" customFormat="1" ht="13.15" customHeight="1" x14ac:dyDescent="0.2">
      <c r="A232" s="674"/>
      <c r="B232" s="674"/>
      <c r="C232" s="682"/>
      <c r="D232" s="682"/>
      <c r="E232" s="682"/>
      <c r="F232" s="682"/>
      <c r="G232" s="900"/>
      <c r="H232" s="682"/>
      <c r="I232" s="682"/>
      <c r="J232" s="682"/>
      <c r="K232" s="682"/>
      <c r="L232" s="682"/>
      <c r="M232" s="682"/>
      <c r="N232" s="682"/>
      <c r="O232" s="682"/>
      <c r="P232" s="682"/>
      <c r="Q232" s="682"/>
      <c r="R232" s="682"/>
      <c r="S232" s="682"/>
      <c r="T232" s="917"/>
      <c r="U232" s="682"/>
      <c r="V232" s="682"/>
      <c r="W232" s="682"/>
      <c r="X232" s="682"/>
      <c r="Y232" s="682"/>
      <c r="Z232" s="682"/>
      <c r="AA232" s="682"/>
      <c r="AB232" s="682"/>
      <c r="AC232" s="682"/>
      <c r="AD232" s="682"/>
      <c r="AE232" s="682"/>
      <c r="AF232" s="682"/>
      <c r="AG232" s="917"/>
      <c r="AH232" s="917"/>
      <c r="AI232" s="917"/>
      <c r="AJ232" s="917"/>
      <c r="AK232" s="924"/>
      <c r="AL232" s="924"/>
      <c r="AM232" s="924"/>
      <c r="AN232" s="924"/>
      <c r="AO232" s="995"/>
    </row>
    <row r="233" spans="1:42" s="18" customFormat="1" ht="13.15" customHeight="1" x14ac:dyDescent="0.2">
      <c r="A233" s="680" t="s">
        <v>256</v>
      </c>
      <c r="B233" s="680"/>
      <c r="C233" s="689">
        <v>0</v>
      </c>
      <c r="D233" s="689">
        <v>0</v>
      </c>
      <c r="E233" s="689">
        <v>0</v>
      </c>
      <c r="F233" s="689">
        <v>0</v>
      </c>
      <c r="G233" s="902">
        <f>F233</f>
        <v>0</v>
      </c>
      <c r="H233" s="689">
        <v>0</v>
      </c>
      <c r="I233" s="689">
        <v>0</v>
      </c>
      <c r="J233" s="689">
        <v>0</v>
      </c>
      <c r="K233" s="689">
        <v>0</v>
      </c>
      <c r="L233" s="689">
        <v>0</v>
      </c>
      <c r="M233" s="689">
        <v>0</v>
      </c>
      <c r="N233" s="689">
        <v>0</v>
      </c>
      <c r="O233" s="689">
        <v>0</v>
      </c>
      <c r="P233" s="689">
        <v>0</v>
      </c>
      <c r="Q233" s="689">
        <v>0</v>
      </c>
      <c r="R233" s="689">
        <v>0</v>
      </c>
      <c r="S233" s="689">
        <v>0</v>
      </c>
      <c r="T233" s="902">
        <f>S233</f>
        <v>0</v>
      </c>
      <c r="U233" s="689">
        <f>S233</f>
        <v>0</v>
      </c>
      <c r="V233" s="689">
        <f t="shared" ref="V233:AG233" si="627">U233</f>
        <v>0</v>
      </c>
      <c r="W233" s="689">
        <f t="shared" si="627"/>
        <v>0</v>
      </c>
      <c r="X233" s="689">
        <f t="shared" si="627"/>
        <v>0</v>
      </c>
      <c r="Y233" s="689">
        <f t="shared" si="627"/>
        <v>0</v>
      </c>
      <c r="Z233" s="689">
        <f t="shared" si="627"/>
        <v>0</v>
      </c>
      <c r="AA233" s="689">
        <f t="shared" si="627"/>
        <v>0</v>
      </c>
      <c r="AB233" s="689">
        <f t="shared" si="627"/>
        <v>0</v>
      </c>
      <c r="AC233" s="689">
        <f t="shared" si="627"/>
        <v>0</v>
      </c>
      <c r="AD233" s="689">
        <f t="shared" si="627"/>
        <v>0</v>
      </c>
      <c r="AE233" s="689">
        <f t="shared" si="627"/>
        <v>0</v>
      </c>
      <c r="AF233" s="689">
        <f t="shared" si="627"/>
        <v>0</v>
      </c>
      <c r="AG233" s="902">
        <f t="shared" si="627"/>
        <v>0</v>
      </c>
      <c r="AH233" s="899">
        <f>AF233</f>
        <v>0</v>
      </c>
      <c r="AI233" s="899">
        <f t="shared" ref="AI233:AO233" si="628">AH233</f>
        <v>0</v>
      </c>
      <c r="AJ233" s="899">
        <f t="shared" si="628"/>
        <v>0</v>
      </c>
      <c r="AK233" s="899">
        <f t="shared" si="628"/>
        <v>0</v>
      </c>
      <c r="AL233" s="899">
        <f t="shared" si="628"/>
        <v>0</v>
      </c>
      <c r="AM233" s="899">
        <f t="shared" si="628"/>
        <v>0</v>
      </c>
      <c r="AN233" s="899">
        <f t="shared" si="628"/>
        <v>0</v>
      </c>
      <c r="AO233" s="1000">
        <f t="shared" si="628"/>
        <v>0</v>
      </c>
    </row>
    <row r="234" spans="1:42" s="18" customFormat="1" ht="13.15" customHeight="1" x14ac:dyDescent="0.2">
      <c r="A234" s="680" t="s">
        <v>252</v>
      </c>
      <c r="B234" s="680"/>
      <c r="C234" s="689">
        <v>0</v>
      </c>
      <c r="D234" s="689">
        <v>0</v>
      </c>
      <c r="E234" s="689">
        <v>0</v>
      </c>
      <c r="F234" s="689">
        <v>0</v>
      </c>
      <c r="G234" s="902">
        <f>SUM(C234:F234)</f>
        <v>0</v>
      </c>
      <c r="H234" s="689">
        <v>0</v>
      </c>
      <c r="I234" s="689">
        <v>0</v>
      </c>
      <c r="J234" s="689">
        <v>0</v>
      </c>
      <c r="K234" s="689">
        <v>0</v>
      </c>
      <c r="L234" s="689">
        <v>0</v>
      </c>
      <c r="M234" s="689">
        <v>0</v>
      </c>
      <c r="N234" s="689">
        <f t="shared" ref="N234:S234" si="629">300/12</f>
        <v>25</v>
      </c>
      <c r="O234" s="689">
        <f t="shared" si="629"/>
        <v>25</v>
      </c>
      <c r="P234" s="689">
        <f t="shared" si="629"/>
        <v>25</v>
      </c>
      <c r="Q234" s="689">
        <f t="shared" si="629"/>
        <v>25</v>
      </c>
      <c r="R234" s="689">
        <f t="shared" si="629"/>
        <v>25</v>
      </c>
      <c r="S234" s="689">
        <f t="shared" si="629"/>
        <v>25</v>
      </c>
      <c r="T234" s="917">
        <f>SUM(H234:S234)</f>
        <v>150</v>
      </c>
      <c r="U234" s="689">
        <f>300/12</f>
        <v>25</v>
      </c>
      <c r="V234" s="689">
        <f t="shared" ref="V234:AF234" si="630">300/12</f>
        <v>25</v>
      </c>
      <c r="W234" s="689">
        <f t="shared" si="630"/>
        <v>25</v>
      </c>
      <c r="X234" s="689">
        <f t="shared" si="630"/>
        <v>25</v>
      </c>
      <c r="Y234" s="689">
        <f t="shared" si="630"/>
        <v>25</v>
      </c>
      <c r="Z234" s="689">
        <f t="shared" si="630"/>
        <v>25</v>
      </c>
      <c r="AA234" s="689">
        <f t="shared" si="630"/>
        <v>25</v>
      </c>
      <c r="AB234" s="689">
        <f t="shared" si="630"/>
        <v>25</v>
      </c>
      <c r="AC234" s="689">
        <f t="shared" si="630"/>
        <v>25</v>
      </c>
      <c r="AD234" s="689">
        <f t="shared" si="630"/>
        <v>25</v>
      </c>
      <c r="AE234" s="689">
        <f t="shared" si="630"/>
        <v>25</v>
      </c>
      <c r="AF234" s="689">
        <f t="shared" si="630"/>
        <v>25</v>
      </c>
      <c r="AG234" s="917">
        <f>SUM(U234:AF234)</f>
        <v>300</v>
      </c>
      <c r="AH234" s="899">
        <v>300</v>
      </c>
      <c r="AI234" s="899">
        <v>300</v>
      </c>
      <c r="AJ234" s="899">
        <v>300</v>
      </c>
      <c r="AK234" s="899">
        <v>300</v>
      </c>
      <c r="AL234" s="899">
        <v>300</v>
      </c>
      <c r="AM234" s="899">
        <v>300</v>
      </c>
      <c r="AN234" s="899">
        <v>300</v>
      </c>
      <c r="AO234" s="1000">
        <v>300</v>
      </c>
    </row>
    <row r="235" spans="1:42" s="18" customFormat="1" ht="13.15" customHeight="1" x14ac:dyDescent="0.2">
      <c r="A235" s="680" t="s">
        <v>254</v>
      </c>
      <c r="B235" s="680"/>
      <c r="C235" s="690">
        <f t="shared" ref="C235:F235" si="631">C233*C234</f>
        <v>0</v>
      </c>
      <c r="D235" s="690">
        <f t="shared" si="631"/>
        <v>0</v>
      </c>
      <c r="E235" s="690">
        <f t="shared" si="631"/>
        <v>0</v>
      </c>
      <c r="F235" s="690">
        <f t="shared" si="631"/>
        <v>0</v>
      </c>
      <c r="G235" s="902">
        <f>SUM(C235:F235)</f>
        <v>0</v>
      </c>
      <c r="H235" s="690">
        <f t="shared" ref="H235:M235" si="632">H233*H234</f>
        <v>0</v>
      </c>
      <c r="I235" s="690">
        <f t="shared" si="632"/>
        <v>0</v>
      </c>
      <c r="J235" s="690">
        <f t="shared" si="632"/>
        <v>0</v>
      </c>
      <c r="K235" s="690">
        <f t="shared" si="632"/>
        <v>0</v>
      </c>
      <c r="L235" s="690">
        <f t="shared" si="632"/>
        <v>0</v>
      </c>
      <c r="M235" s="690">
        <f t="shared" si="632"/>
        <v>0</v>
      </c>
      <c r="N235" s="690">
        <f t="shared" ref="N235:S235" si="633">N233*N234</f>
        <v>0</v>
      </c>
      <c r="O235" s="690">
        <f t="shared" si="633"/>
        <v>0</v>
      </c>
      <c r="P235" s="690">
        <f t="shared" si="633"/>
        <v>0</v>
      </c>
      <c r="Q235" s="690">
        <f t="shared" si="633"/>
        <v>0</v>
      </c>
      <c r="R235" s="690">
        <f t="shared" si="633"/>
        <v>0</v>
      </c>
      <c r="S235" s="690">
        <f t="shared" si="633"/>
        <v>0</v>
      </c>
      <c r="T235" s="917">
        <f>SUM(H235:S235)</f>
        <v>0</v>
      </c>
      <c r="U235" s="690">
        <f t="shared" ref="U235:AF235" si="634">U233*U234</f>
        <v>0</v>
      </c>
      <c r="V235" s="690">
        <f t="shared" si="634"/>
        <v>0</v>
      </c>
      <c r="W235" s="690">
        <f t="shared" si="634"/>
        <v>0</v>
      </c>
      <c r="X235" s="690">
        <f t="shared" si="634"/>
        <v>0</v>
      </c>
      <c r="Y235" s="690">
        <f t="shared" si="634"/>
        <v>0</v>
      </c>
      <c r="Z235" s="690">
        <f t="shared" si="634"/>
        <v>0</v>
      </c>
      <c r="AA235" s="690">
        <f t="shared" si="634"/>
        <v>0</v>
      </c>
      <c r="AB235" s="690">
        <f t="shared" si="634"/>
        <v>0</v>
      </c>
      <c r="AC235" s="690">
        <f t="shared" si="634"/>
        <v>0</v>
      </c>
      <c r="AD235" s="690">
        <f t="shared" si="634"/>
        <v>0</v>
      </c>
      <c r="AE235" s="690">
        <f t="shared" si="634"/>
        <v>0</v>
      </c>
      <c r="AF235" s="690">
        <f t="shared" si="634"/>
        <v>0</v>
      </c>
      <c r="AG235" s="917">
        <f>SUM(U235:AF235)</f>
        <v>0</v>
      </c>
      <c r="AH235" s="902">
        <f t="shared" ref="AH235:AO235" si="635">AH233*AH234</f>
        <v>0</v>
      </c>
      <c r="AI235" s="902">
        <f t="shared" si="635"/>
        <v>0</v>
      </c>
      <c r="AJ235" s="902">
        <f t="shared" si="635"/>
        <v>0</v>
      </c>
      <c r="AK235" s="902">
        <f t="shared" si="635"/>
        <v>0</v>
      </c>
      <c r="AL235" s="902">
        <f t="shared" si="635"/>
        <v>0</v>
      </c>
      <c r="AM235" s="902">
        <f t="shared" si="635"/>
        <v>0</v>
      </c>
      <c r="AN235" s="902">
        <f t="shared" si="635"/>
        <v>0</v>
      </c>
      <c r="AO235" s="996">
        <f t="shared" si="635"/>
        <v>0</v>
      </c>
    </row>
    <row r="236" spans="1:42" s="18" customFormat="1" ht="13.15" customHeight="1" x14ac:dyDescent="0.2">
      <c r="A236" s="680" t="s">
        <v>249</v>
      </c>
      <c r="B236" s="680"/>
      <c r="C236" s="686">
        <f t="shared" ref="C236:F236" si="636">C224</f>
        <v>1.5</v>
      </c>
      <c r="D236" s="686">
        <f t="shared" si="636"/>
        <v>1.5</v>
      </c>
      <c r="E236" s="686">
        <f t="shared" si="636"/>
        <v>1.5</v>
      </c>
      <c r="F236" s="686">
        <f t="shared" si="636"/>
        <v>1.5</v>
      </c>
      <c r="G236" s="903">
        <f>F236</f>
        <v>1.5</v>
      </c>
      <c r="H236" s="686">
        <f t="shared" ref="H236:M236" si="637">H224</f>
        <v>1.5</v>
      </c>
      <c r="I236" s="686">
        <f t="shared" si="637"/>
        <v>1.5</v>
      </c>
      <c r="J236" s="686">
        <f t="shared" si="637"/>
        <v>1.5</v>
      </c>
      <c r="K236" s="686">
        <f t="shared" si="637"/>
        <v>1.5</v>
      </c>
      <c r="L236" s="686">
        <f t="shared" si="637"/>
        <v>1.5</v>
      </c>
      <c r="M236" s="686">
        <f t="shared" si="637"/>
        <v>1.5</v>
      </c>
      <c r="N236" s="686">
        <f t="shared" ref="N236:AO236" si="638">N224</f>
        <v>1.5</v>
      </c>
      <c r="O236" s="686">
        <f t="shared" si="638"/>
        <v>1.5</v>
      </c>
      <c r="P236" s="686">
        <f t="shared" si="638"/>
        <v>1.5</v>
      </c>
      <c r="Q236" s="686">
        <f t="shared" si="638"/>
        <v>1.5</v>
      </c>
      <c r="R236" s="686">
        <f t="shared" si="638"/>
        <v>1.5</v>
      </c>
      <c r="S236" s="686">
        <f t="shared" si="638"/>
        <v>1.5</v>
      </c>
      <c r="T236" s="919">
        <f t="shared" si="638"/>
        <v>1.5</v>
      </c>
      <c r="U236" s="686">
        <f t="shared" si="638"/>
        <v>1.5</v>
      </c>
      <c r="V236" s="686">
        <f t="shared" si="638"/>
        <v>1.5</v>
      </c>
      <c r="W236" s="686">
        <f t="shared" si="638"/>
        <v>1.5</v>
      </c>
      <c r="X236" s="686">
        <f t="shared" si="638"/>
        <v>1.5</v>
      </c>
      <c r="Y236" s="686">
        <f t="shared" si="638"/>
        <v>1.5</v>
      </c>
      <c r="Z236" s="686">
        <f t="shared" si="638"/>
        <v>1.5</v>
      </c>
      <c r="AA236" s="686">
        <f t="shared" si="638"/>
        <v>1.5</v>
      </c>
      <c r="AB236" s="686">
        <f t="shared" si="638"/>
        <v>1.5</v>
      </c>
      <c r="AC236" s="686">
        <f t="shared" si="638"/>
        <v>1.5</v>
      </c>
      <c r="AD236" s="686">
        <f t="shared" si="638"/>
        <v>1.5</v>
      </c>
      <c r="AE236" s="686">
        <f t="shared" si="638"/>
        <v>1.5</v>
      </c>
      <c r="AF236" s="686">
        <f t="shared" si="638"/>
        <v>1.5</v>
      </c>
      <c r="AG236" s="919">
        <f t="shared" si="638"/>
        <v>1.5</v>
      </c>
      <c r="AH236" s="919">
        <f t="shared" si="638"/>
        <v>1.5</v>
      </c>
      <c r="AI236" s="919">
        <f t="shared" si="638"/>
        <v>1.5</v>
      </c>
      <c r="AJ236" s="919">
        <f t="shared" si="638"/>
        <v>1.5</v>
      </c>
      <c r="AK236" s="919">
        <f t="shared" si="638"/>
        <v>1.5</v>
      </c>
      <c r="AL236" s="919">
        <f t="shared" si="638"/>
        <v>1.5</v>
      </c>
      <c r="AM236" s="919">
        <f t="shared" si="638"/>
        <v>1.5</v>
      </c>
      <c r="AN236" s="919">
        <f t="shared" si="638"/>
        <v>1.5</v>
      </c>
      <c r="AO236" s="998">
        <f t="shared" si="638"/>
        <v>1.5</v>
      </c>
    </row>
    <row r="237" spans="1:42" s="18" customFormat="1" ht="13.15" customHeight="1" x14ac:dyDescent="0.2">
      <c r="A237" s="680" t="s">
        <v>255</v>
      </c>
      <c r="B237" s="680"/>
      <c r="C237" s="690">
        <f t="shared" ref="C237:F237" si="639">C235*C236</f>
        <v>0</v>
      </c>
      <c r="D237" s="690">
        <f t="shared" si="639"/>
        <v>0</v>
      </c>
      <c r="E237" s="690">
        <f t="shared" si="639"/>
        <v>0</v>
      </c>
      <c r="F237" s="690">
        <f t="shared" si="639"/>
        <v>0</v>
      </c>
      <c r="G237" s="902">
        <f>SUM(C237:F237)</f>
        <v>0</v>
      </c>
      <c r="H237" s="690">
        <f t="shared" ref="H237:M237" si="640">H235*H236</f>
        <v>0</v>
      </c>
      <c r="I237" s="690">
        <f t="shared" si="640"/>
        <v>0</v>
      </c>
      <c r="J237" s="690">
        <f t="shared" si="640"/>
        <v>0</v>
      </c>
      <c r="K237" s="690">
        <f t="shared" si="640"/>
        <v>0</v>
      </c>
      <c r="L237" s="690">
        <f t="shared" si="640"/>
        <v>0</v>
      </c>
      <c r="M237" s="690">
        <f t="shared" si="640"/>
        <v>0</v>
      </c>
      <c r="N237" s="690">
        <f t="shared" ref="N237:S237" si="641">N235*N236</f>
        <v>0</v>
      </c>
      <c r="O237" s="690">
        <f t="shared" si="641"/>
        <v>0</v>
      </c>
      <c r="P237" s="690">
        <f t="shared" si="641"/>
        <v>0</v>
      </c>
      <c r="Q237" s="690">
        <f t="shared" si="641"/>
        <v>0</v>
      </c>
      <c r="R237" s="690">
        <f t="shared" si="641"/>
        <v>0</v>
      </c>
      <c r="S237" s="690">
        <f t="shared" si="641"/>
        <v>0</v>
      </c>
      <c r="T237" s="918">
        <f>SUM(H237:S237)</f>
        <v>0</v>
      </c>
      <c r="U237" s="690">
        <f t="shared" ref="U237:AF237" si="642">U235*U236</f>
        <v>0</v>
      </c>
      <c r="V237" s="690">
        <f t="shared" si="642"/>
        <v>0</v>
      </c>
      <c r="W237" s="690">
        <f t="shared" si="642"/>
        <v>0</v>
      </c>
      <c r="X237" s="690">
        <f t="shared" si="642"/>
        <v>0</v>
      </c>
      <c r="Y237" s="690">
        <f t="shared" si="642"/>
        <v>0</v>
      </c>
      <c r="Z237" s="690">
        <f t="shared" si="642"/>
        <v>0</v>
      </c>
      <c r="AA237" s="690">
        <f t="shared" si="642"/>
        <v>0</v>
      </c>
      <c r="AB237" s="690">
        <f t="shared" si="642"/>
        <v>0</v>
      </c>
      <c r="AC237" s="690">
        <f t="shared" si="642"/>
        <v>0</v>
      </c>
      <c r="AD237" s="690">
        <f t="shared" si="642"/>
        <v>0</v>
      </c>
      <c r="AE237" s="690">
        <f t="shared" si="642"/>
        <v>0</v>
      </c>
      <c r="AF237" s="690">
        <f t="shared" si="642"/>
        <v>0</v>
      </c>
      <c r="AG237" s="918">
        <f>SUM(U237:AF237)</f>
        <v>0</v>
      </c>
      <c r="AH237" s="902">
        <f t="shared" ref="AH237:AO237" si="643">AH235*AH236</f>
        <v>0</v>
      </c>
      <c r="AI237" s="902">
        <f t="shared" si="643"/>
        <v>0</v>
      </c>
      <c r="AJ237" s="902">
        <f t="shared" si="643"/>
        <v>0</v>
      </c>
      <c r="AK237" s="902">
        <f t="shared" si="643"/>
        <v>0</v>
      </c>
      <c r="AL237" s="902">
        <f t="shared" si="643"/>
        <v>0</v>
      </c>
      <c r="AM237" s="902">
        <f t="shared" si="643"/>
        <v>0</v>
      </c>
      <c r="AN237" s="902">
        <f t="shared" si="643"/>
        <v>0</v>
      </c>
      <c r="AO237" s="996">
        <f t="shared" si="643"/>
        <v>0</v>
      </c>
    </row>
    <row r="238" spans="1:42" s="18" customFormat="1" ht="13.15" customHeight="1" x14ac:dyDescent="0.2">
      <c r="A238" s="680"/>
      <c r="B238" s="680"/>
      <c r="C238" s="682"/>
      <c r="D238" s="682"/>
      <c r="E238" s="682"/>
      <c r="F238" s="682"/>
      <c r="G238" s="900"/>
      <c r="H238" s="682"/>
      <c r="I238" s="682"/>
      <c r="J238" s="682"/>
      <c r="K238" s="682"/>
      <c r="L238" s="682"/>
      <c r="M238" s="682"/>
      <c r="N238" s="682"/>
      <c r="O238" s="682"/>
      <c r="P238" s="682"/>
      <c r="Q238" s="682"/>
      <c r="R238" s="682"/>
      <c r="S238" s="682"/>
      <c r="T238" s="917"/>
      <c r="U238" s="682"/>
      <c r="V238" s="682"/>
      <c r="W238" s="682"/>
      <c r="X238" s="682"/>
      <c r="Y238" s="682"/>
      <c r="Z238" s="682"/>
      <c r="AA238" s="682"/>
      <c r="AB238" s="682"/>
      <c r="AC238" s="682"/>
      <c r="AD238" s="682"/>
      <c r="AE238" s="682"/>
      <c r="AF238" s="682"/>
      <c r="AG238" s="917"/>
      <c r="AH238" s="917"/>
      <c r="AI238" s="917"/>
      <c r="AJ238" s="917"/>
      <c r="AK238" s="924"/>
      <c r="AL238" s="924"/>
      <c r="AM238" s="924"/>
      <c r="AN238" s="924"/>
      <c r="AO238" s="995"/>
    </row>
    <row r="239" spans="1:42" s="277" customFormat="1" ht="13.15" customHeight="1" x14ac:dyDescent="0.2">
      <c r="A239" s="676" t="s">
        <v>257</v>
      </c>
      <c r="B239" s="676"/>
      <c r="C239" s="694">
        <f t="shared" ref="C239:F239" si="644">C225+C231+C237</f>
        <v>0</v>
      </c>
      <c r="D239" s="694">
        <f t="shared" si="644"/>
        <v>0</v>
      </c>
      <c r="E239" s="694">
        <f t="shared" si="644"/>
        <v>0</v>
      </c>
      <c r="F239" s="694">
        <f t="shared" si="644"/>
        <v>0</v>
      </c>
      <c r="G239" s="904">
        <f>SUM(C239:F239)</f>
        <v>0</v>
      </c>
      <c r="H239" s="694">
        <f t="shared" ref="H239:M239" si="645">H225+H231+H237</f>
        <v>0</v>
      </c>
      <c r="I239" s="694">
        <f t="shared" si="645"/>
        <v>0</v>
      </c>
      <c r="J239" s="694">
        <f t="shared" si="645"/>
        <v>0</v>
      </c>
      <c r="K239" s="694">
        <f t="shared" si="645"/>
        <v>0</v>
      </c>
      <c r="L239" s="694">
        <f t="shared" si="645"/>
        <v>0</v>
      </c>
      <c r="M239" s="694">
        <f t="shared" si="645"/>
        <v>0</v>
      </c>
      <c r="N239" s="694">
        <f t="shared" ref="N239:S239" si="646">N225+N231+N237</f>
        <v>0</v>
      </c>
      <c r="O239" s="694">
        <f t="shared" si="646"/>
        <v>0</v>
      </c>
      <c r="P239" s="694">
        <f t="shared" si="646"/>
        <v>0</v>
      </c>
      <c r="Q239" s="694">
        <f t="shared" si="646"/>
        <v>0</v>
      </c>
      <c r="R239" s="694">
        <f t="shared" si="646"/>
        <v>0</v>
      </c>
      <c r="S239" s="694">
        <f t="shared" si="646"/>
        <v>0</v>
      </c>
      <c r="T239" s="915">
        <f>SUM(H239:S239)</f>
        <v>0</v>
      </c>
      <c r="U239" s="694">
        <f t="shared" ref="U239:AF239" si="647">U225+U231+U237</f>
        <v>0</v>
      </c>
      <c r="V239" s="694">
        <f t="shared" si="647"/>
        <v>0</v>
      </c>
      <c r="W239" s="694">
        <f t="shared" si="647"/>
        <v>0</v>
      </c>
      <c r="X239" s="694">
        <f t="shared" si="647"/>
        <v>0</v>
      </c>
      <c r="Y239" s="694">
        <f t="shared" si="647"/>
        <v>0</v>
      </c>
      <c r="Z239" s="694">
        <f t="shared" si="647"/>
        <v>0</v>
      </c>
      <c r="AA239" s="694">
        <f t="shared" si="647"/>
        <v>0</v>
      </c>
      <c r="AB239" s="694">
        <f t="shared" si="647"/>
        <v>0</v>
      </c>
      <c r="AC239" s="694">
        <f t="shared" si="647"/>
        <v>0</v>
      </c>
      <c r="AD239" s="694">
        <f t="shared" si="647"/>
        <v>0</v>
      </c>
      <c r="AE239" s="694">
        <f t="shared" si="647"/>
        <v>0</v>
      </c>
      <c r="AF239" s="694">
        <f t="shared" si="647"/>
        <v>0</v>
      </c>
      <c r="AG239" s="904">
        <f>SUM(U239:AF239)</f>
        <v>0</v>
      </c>
      <c r="AH239" s="904">
        <f t="shared" ref="AH239:AO239" si="648">AH225+AH231+AH237</f>
        <v>223.25625000000002</v>
      </c>
      <c r="AI239" s="904">
        <f t="shared" si="648"/>
        <v>928.74599999999998</v>
      </c>
      <c r="AJ239" s="904">
        <f t="shared" si="648"/>
        <v>2152.3688549999997</v>
      </c>
      <c r="AK239" s="904">
        <f t="shared" si="648"/>
        <v>4390.8324642000007</v>
      </c>
      <c r="AL239" s="904">
        <f t="shared" si="648"/>
        <v>7473.3594774930007</v>
      </c>
      <c r="AM239" s="904">
        <f t="shared" si="648"/>
        <v>9854.9795307599998</v>
      </c>
      <c r="AN239" s="904">
        <f t="shared" si="648"/>
        <v>11497.476119220002</v>
      </c>
      <c r="AO239" s="1001">
        <f t="shared" si="648"/>
        <v>13139.972707680003</v>
      </c>
    </row>
    <row r="240" spans="1:42" s="18" customFormat="1" ht="13.15" customHeight="1" x14ac:dyDescent="0.2">
      <c r="A240" s="680"/>
      <c r="B240" s="680"/>
      <c r="C240" s="682"/>
      <c r="D240" s="682"/>
      <c r="E240" s="682"/>
      <c r="F240" s="682"/>
      <c r="G240" s="900"/>
      <c r="H240" s="682"/>
      <c r="I240" s="682"/>
      <c r="J240" s="682"/>
      <c r="K240" s="682"/>
      <c r="L240" s="682"/>
      <c r="M240" s="682"/>
      <c r="N240" s="682"/>
      <c r="O240" s="682"/>
      <c r="P240" s="682"/>
      <c r="Q240" s="682"/>
      <c r="R240" s="682"/>
      <c r="S240" s="682"/>
      <c r="T240" s="917"/>
      <c r="U240" s="682"/>
      <c r="V240" s="682"/>
      <c r="W240" s="682"/>
      <c r="X240" s="682"/>
      <c r="Y240" s="682"/>
      <c r="Z240" s="682"/>
      <c r="AA240" s="682"/>
      <c r="AB240" s="682"/>
      <c r="AC240" s="682"/>
      <c r="AD240" s="682"/>
      <c r="AE240" s="682"/>
      <c r="AF240" s="682"/>
      <c r="AG240" s="917"/>
      <c r="AH240" s="917"/>
      <c r="AI240" s="917"/>
      <c r="AJ240" s="917"/>
      <c r="AK240" s="924"/>
      <c r="AL240" s="924"/>
      <c r="AM240" s="924"/>
      <c r="AN240" s="924"/>
      <c r="AO240" s="995"/>
    </row>
    <row r="241" spans="1:42" s="18" customFormat="1" ht="13.15" customHeight="1" x14ac:dyDescent="0.2">
      <c r="A241" s="680" t="s">
        <v>258</v>
      </c>
      <c r="B241" s="680"/>
      <c r="C241" s="767">
        <f t="shared" ref="C241:F241" si="649">C160</f>
        <v>300</v>
      </c>
      <c r="D241" s="767">
        <f t="shared" si="649"/>
        <v>300</v>
      </c>
      <c r="E241" s="767">
        <f t="shared" si="649"/>
        <v>300</v>
      </c>
      <c r="F241" s="767">
        <f t="shared" si="649"/>
        <v>300</v>
      </c>
      <c r="G241" s="905">
        <f>F241</f>
        <v>300</v>
      </c>
      <c r="H241" s="767">
        <f t="shared" ref="H241:M241" si="650">H160</f>
        <v>300</v>
      </c>
      <c r="I241" s="767">
        <f t="shared" si="650"/>
        <v>300</v>
      </c>
      <c r="J241" s="767">
        <f t="shared" si="650"/>
        <v>300</v>
      </c>
      <c r="K241" s="767">
        <f t="shared" si="650"/>
        <v>300</v>
      </c>
      <c r="L241" s="767">
        <f t="shared" si="650"/>
        <v>300</v>
      </c>
      <c r="M241" s="767">
        <f t="shared" si="650"/>
        <v>300</v>
      </c>
      <c r="N241" s="767">
        <f t="shared" ref="N241:AO241" si="651">N$25</f>
        <v>300</v>
      </c>
      <c r="O241" s="767">
        <f t="shared" si="651"/>
        <v>300</v>
      </c>
      <c r="P241" s="767">
        <f t="shared" si="651"/>
        <v>300</v>
      </c>
      <c r="Q241" s="767">
        <f t="shared" si="651"/>
        <v>300</v>
      </c>
      <c r="R241" s="767">
        <f t="shared" si="651"/>
        <v>300</v>
      </c>
      <c r="S241" s="767">
        <f t="shared" si="651"/>
        <v>300</v>
      </c>
      <c r="T241" s="905">
        <f t="shared" si="651"/>
        <v>300</v>
      </c>
      <c r="U241" s="767">
        <f t="shared" si="651"/>
        <v>300</v>
      </c>
      <c r="V241" s="767">
        <f t="shared" si="651"/>
        <v>300</v>
      </c>
      <c r="W241" s="767">
        <f t="shared" si="651"/>
        <v>300</v>
      </c>
      <c r="X241" s="767">
        <f t="shared" si="651"/>
        <v>300</v>
      </c>
      <c r="Y241" s="767">
        <f t="shared" si="651"/>
        <v>300</v>
      </c>
      <c r="Z241" s="767">
        <f t="shared" si="651"/>
        <v>300</v>
      </c>
      <c r="AA241" s="767">
        <f t="shared" si="651"/>
        <v>300</v>
      </c>
      <c r="AB241" s="767">
        <f t="shared" si="651"/>
        <v>300</v>
      </c>
      <c r="AC241" s="767">
        <f t="shared" si="651"/>
        <v>300</v>
      </c>
      <c r="AD241" s="767">
        <f t="shared" si="651"/>
        <v>300</v>
      </c>
      <c r="AE241" s="767">
        <f t="shared" si="651"/>
        <v>300</v>
      </c>
      <c r="AF241" s="767">
        <f t="shared" si="651"/>
        <v>300</v>
      </c>
      <c r="AG241" s="905">
        <f t="shared" si="651"/>
        <v>300</v>
      </c>
      <c r="AH241" s="905">
        <f t="shared" si="651"/>
        <v>300</v>
      </c>
      <c r="AI241" s="905">
        <f t="shared" si="651"/>
        <v>300</v>
      </c>
      <c r="AJ241" s="905">
        <f t="shared" si="651"/>
        <v>300</v>
      </c>
      <c r="AK241" s="905">
        <f t="shared" si="651"/>
        <v>300</v>
      </c>
      <c r="AL241" s="905">
        <f t="shared" si="651"/>
        <v>300</v>
      </c>
      <c r="AM241" s="905">
        <f t="shared" si="651"/>
        <v>300</v>
      </c>
      <c r="AN241" s="905">
        <f t="shared" si="651"/>
        <v>300</v>
      </c>
      <c r="AO241" s="1002">
        <f t="shared" si="651"/>
        <v>300</v>
      </c>
      <c r="AP241" s="988"/>
    </row>
    <row r="242" spans="1:42" s="18" customFormat="1" ht="13.15" customHeight="1" x14ac:dyDescent="0.2">
      <c r="A242" s="680"/>
      <c r="B242" s="680"/>
      <c r="C242" s="682"/>
      <c r="D242" s="682"/>
      <c r="E242" s="682"/>
      <c r="F242" s="682"/>
      <c r="G242" s="900"/>
      <c r="H242" s="682"/>
      <c r="I242" s="682"/>
      <c r="J242" s="682"/>
      <c r="K242" s="682"/>
      <c r="L242" s="682"/>
      <c r="M242" s="682"/>
      <c r="N242" s="682"/>
      <c r="O242" s="682"/>
      <c r="P242" s="682"/>
      <c r="Q242" s="682"/>
      <c r="R242" s="682"/>
      <c r="S242" s="682"/>
      <c r="T242" s="917"/>
      <c r="U242" s="682"/>
      <c r="V242" s="682"/>
      <c r="W242" s="682"/>
      <c r="X242" s="682"/>
      <c r="Y242" s="682"/>
      <c r="Z242" s="682"/>
      <c r="AA242" s="682"/>
      <c r="AB242" s="682"/>
      <c r="AC242" s="682"/>
      <c r="AD242" s="682"/>
      <c r="AE242" s="682"/>
      <c r="AF242" s="682"/>
      <c r="AG242" s="917"/>
      <c r="AH242" s="917"/>
      <c r="AI242" s="917"/>
      <c r="AJ242" s="917"/>
      <c r="AK242" s="924"/>
      <c r="AL242" s="924"/>
      <c r="AM242" s="924"/>
      <c r="AN242" s="924"/>
      <c r="AO242" s="995"/>
    </row>
    <row r="243" spans="1:42" s="794" customFormat="1" ht="13.15" customHeight="1" x14ac:dyDescent="0.2">
      <c r="A243" s="763" t="s">
        <v>422</v>
      </c>
      <c r="B243" s="763"/>
      <c r="C243" s="765">
        <f t="shared" ref="C243:F243" si="652">C239*C241</f>
        <v>0</v>
      </c>
      <c r="D243" s="765">
        <f t="shared" si="652"/>
        <v>0</v>
      </c>
      <c r="E243" s="765">
        <f t="shared" si="652"/>
        <v>0</v>
      </c>
      <c r="F243" s="765">
        <f t="shared" si="652"/>
        <v>0</v>
      </c>
      <c r="G243" s="906">
        <f>SUM(C243:F243)</f>
        <v>0</v>
      </c>
      <c r="H243" s="765">
        <f t="shared" ref="H243:M243" si="653">H239*H241</f>
        <v>0</v>
      </c>
      <c r="I243" s="765">
        <f t="shared" si="653"/>
        <v>0</v>
      </c>
      <c r="J243" s="765">
        <f t="shared" si="653"/>
        <v>0</v>
      </c>
      <c r="K243" s="765">
        <f t="shared" si="653"/>
        <v>0</v>
      </c>
      <c r="L243" s="765">
        <f t="shared" si="653"/>
        <v>0</v>
      </c>
      <c r="M243" s="765">
        <f t="shared" si="653"/>
        <v>0</v>
      </c>
      <c r="N243" s="765">
        <f t="shared" ref="N243:S243" si="654">N239*N241</f>
        <v>0</v>
      </c>
      <c r="O243" s="765">
        <f t="shared" si="654"/>
        <v>0</v>
      </c>
      <c r="P243" s="765">
        <f t="shared" si="654"/>
        <v>0</v>
      </c>
      <c r="Q243" s="765">
        <f t="shared" si="654"/>
        <v>0</v>
      </c>
      <c r="R243" s="765">
        <f t="shared" si="654"/>
        <v>0</v>
      </c>
      <c r="S243" s="765">
        <f t="shared" si="654"/>
        <v>0</v>
      </c>
      <c r="T243" s="906">
        <f>SUM(H243:S243)</f>
        <v>0</v>
      </c>
      <c r="U243" s="765">
        <f>U239*U241</f>
        <v>0</v>
      </c>
      <c r="V243" s="765">
        <f t="shared" ref="V243:AF243" si="655">V239*V241</f>
        <v>0</v>
      </c>
      <c r="W243" s="765">
        <f t="shared" si="655"/>
        <v>0</v>
      </c>
      <c r="X243" s="765">
        <f t="shared" si="655"/>
        <v>0</v>
      </c>
      <c r="Y243" s="765">
        <f t="shared" si="655"/>
        <v>0</v>
      </c>
      <c r="Z243" s="765">
        <f t="shared" si="655"/>
        <v>0</v>
      </c>
      <c r="AA243" s="765">
        <f t="shared" si="655"/>
        <v>0</v>
      </c>
      <c r="AB243" s="765">
        <f t="shared" si="655"/>
        <v>0</v>
      </c>
      <c r="AC243" s="765">
        <f t="shared" si="655"/>
        <v>0</v>
      </c>
      <c r="AD243" s="765">
        <f t="shared" si="655"/>
        <v>0</v>
      </c>
      <c r="AE243" s="765">
        <f t="shared" si="655"/>
        <v>0</v>
      </c>
      <c r="AF243" s="765">
        <f t="shared" si="655"/>
        <v>0</v>
      </c>
      <c r="AG243" s="906">
        <f>SUM(U243:AF243)</f>
        <v>0</v>
      </c>
      <c r="AH243" s="906">
        <f t="shared" ref="AH243:AO243" si="656">AH239*AH241</f>
        <v>66976.875</v>
      </c>
      <c r="AI243" s="906">
        <f t="shared" si="656"/>
        <v>278623.8</v>
      </c>
      <c r="AJ243" s="906">
        <f t="shared" si="656"/>
        <v>645710.65649999992</v>
      </c>
      <c r="AK243" s="906">
        <f t="shared" si="656"/>
        <v>1317249.7392600002</v>
      </c>
      <c r="AL243" s="906">
        <f t="shared" si="656"/>
        <v>2242007.8432479003</v>
      </c>
      <c r="AM243" s="906">
        <f t="shared" si="656"/>
        <v>2956493.859228</v>
      </c>
      <c r="AN243" s="906">
        <f t="shared" si="656"/>
        <v>3449242.8357660007</v>
      </c>
      <c r="AO243" s="1003">
        <f t="shared" si="656"/>
        <v>3941991.8123040008</v>
      </c>
      <c r="AP243" s="277"/>
    </row>
    <row r="244" spans="1:42" s="18" customFormat="1" ht="13.15" customHeight="1" x14ac:dyDescent="0.2">
      <c r="A244" s="680"/>
      <c r="B244" s="680"/>
      <c r="C244" s="680"/>
      <c r="D244" s="680"/>
      <c r="E244" s="680"/>
      <c r="F244" s="680"/>
      <c r="G244" s="900"/>
      <c r="H244" s="682"/>
      <c r="I244" s="682"/>
      <c r="J244" s="682"/>
      <c r="K244" s="682"/>
      <c r="L244" s="682"/>
      <c r="M244" s="682"/>
      <c r="N244" s="682"/>
      <c r="O244" s="682"/>
      <c r="P244" s="682"/>
      <c r="Q244" s="682"/>
      <c r="R244" s="682"/>
      <c r="S244" s="682"/>
      <c r="T244" s="917"/>
      <c r="U244" s="682"/>
      <c r="V244" s="682"/>
      <c r="W244" s="682"/>
      <c r="X244" s="682"/>
      <c r="Y244" s="682"/>
      <c r="Z244" s="682"/>
      <c r="AA244" s="682"/>
      <c r="AB244" s="682"/>
      <c r="AC244" s="682"/>
      <c r="AD244" s="682"/>
      <c r="AE244" s="682"/>
      <c r="AF244" s="682"/>
      <c r="AG244" s="917"/>
      <c r="AH244" s="917"/>
      <c r="AI244" s="917"/>
      <c r="AJ244" s="917"/>
      <c r="AK244" s="924"/>
      <c r="AL244" s="924"/>
      <c r="AM244" s="924"/>
      <c r="AN244" s="924"/>
      <c r="AO244" s="995"/>
    </row>
    <row r="245" spans="1:42" s="18" customFormat="1" ht="13.15" customHeight="1" x14ac:dyDescent="0.2">
      <c r="A245" s="680"/>
      <c r="B245" s="680"/>
      <c r="C245" s="680"/>
      <c r="D245" s="680"/>
      <c r="E245" s="680"/>
      <c r="F245" s="680"/>
      <c r="G245" s="900"/>
      <c r="H245" s="682"/>
      <c r="I245" s="682"/>
      <c r="J245" s="682"/>
      <c r="K245" s="682"/>
      <c r="L245" s="682"/>
      <c r="M245" s="682"/>
      <c r="N245" s="682"/>
      <c r="O245" s="682"/>
      <c r="P245" s="682"/>
      <c r="Q245" s="682"/>
      <c r="R245" s="682"/>
      <c r="S245" s="682"/>
      <c r="T245" s="917"/>
      <c r="U245" s="682"/>
      <c r="V245" s="682"/>
      <c r="W245" s="682"/>
      <c r="X245" s="682"/>
      <c r="Y245" s="682"/>
      <c r="Z245" s="682"/>
      <c r="AA245" s="682"/>
      <c r="AB245" s="682"/>
      <c r="AC245" s="682"/>
      <c r="AD245" s="682"/>
      <c r="AE245" s="682"/>
      <c r="AF245" s="682"/>
      <c r="AG245" s="917"/>
      <c r="AH245" s="917"/>
      <c r="AI245" s="917"/>
      <c r="AJ245" s="917"/>
      <c r="AK245" s="924"/>
      <c r="AL245" s="924"/>
      <c r="AM245" s="924"/>
      <c r="AN245" s="924"/>
      <c r="AO245" s="995"/>
    </row>
    <row r="246" spans="1:42" s="18" customFormat="1" ht="13.15" customHeight="1" x14ac:dyDescent="0.2">
      <c r="A246" s="676" t="s">
        <v>449</v>
      </c>
      <c r="B246" s="676"/>
      <c r="C246" s="676"/>
      <c r="D246" s="676"/>
      <c r="E246" s="676"/>
      <c r="F246" s="676"/>
      <c r="G246" s="898"/>
      <c r="H246" s="678"/>
      <c r="I246" s="678"/>
      <c r="J246" s="678"/>
      <c r="K246" s="678"/>
      <c r="L246" s="678"/>
      <c r="M246" s="678"/>
      <c r="N246" s="678"/>
      <c r="O246" s="678"/>
      <c r="P246" s="678"/>
      <c r="Q246" s="678"/>
      <c r="R246" s="678"/>
      <c r="S246" s="678"/>
      <c r="T246" s="915"/>
      <c r="U246" s="678"/>
      <c r="V246" s="678"/>
      <c r="W246" s="678"/>
      <c r="X246" s="678"/>
      <c r="Y246" s="678"/>
      <c r="Z246" s="678"/>
      <c r="AA246" s="678"/>
      <c r="AB246" s="678"/>
      <c r="AC246" s="678"/>
      <c r="AD246" s="678"/>
      <c r="AE246" s="678"/>
      <c r="AF246" s="678"/>
      <c r="AG246" s="915"/>
      <c r="AH246" s="915"/>
      <c r="AI246" s="915"/>
      <c r="AJ246" s="915"/>
      <c r="AK246" s="924"/>
      <c r="AL246" s="924"/>
      <c r="AM246" s="924"/>
      <c r="AN246" s="924"/>
      <c r="AO246" s="995"/>
    </row>
    <row r="247" spans="1:42" s="18" customFormat="1" ht="13.15" customHeight="1" x14ac:dyDescent="0.2">
      <c r="A247" s="674" t="s">
        <v>250</v>
      </c>
      <c r="B247" s="674"/>
      <c r="C247" s="690">
        <f>$G247/12</f>
        <v>1958.3333333333333</v>
      </c>
      <c r="D247" s="690">
        <f t="shared" ref="D247:F247" si="657">$G247/12</f>
        <v>1958.3333333333333</v>
      </c>
      <c r="E247" s="690">
        <f t="shared" si="657"/>
        <v>1958.3333333333333</v>
      </c>
      <c r="F247" s="690">
        <f t="shared" si="657"/>
        <v>1958.3333333333333</v>
      </c>
      <c r="G247" s="899">
        <v>23500</v>
      </c>
      <c r="H247" s="690">
        <f t="shared" ref="H247:M247" si="658">$T247/12</f>
        <v>1958.3333333333333</v>
      </c>
      <c r="I247" s="690">
        <f t="shared" si="658"/>
        <v>1958.3333333333333</v>
      </c>
      <c r="J247" s="690">
        <f t="shared" si="658"/>
        <v>1958.3333333333333</v>
      </c>
      <c r="K247" s="690">
        <f t="shared" si="658"/>
        <v>1958.3333333333333</v>
      </c>
      <c r="L247" s="690">
        <f t="shared" si="658"/>
        <v>1958.3333333333333</v>
      </c>
      <c r="M247" s="690">
        <f t="shared" si="658"/>
        <v>1958.3333333333333</v>
      </c>
      <c r="N247" s="690">
        <f t="shared" ref="N247:S247" si="659">$T247/12</f>
        <v>1958.3333333333333</v>
      </c>
      <c r="O247" s="690">
        <f t="shared" si="659"/>
        <v>1958.3333333333333</v>
      </c>
      <c r="P247" s="690">
        <f t="shared" si="659"/>
        <v>1958.3333333333333</v>
      </c>
      <c r="Q247" s="690">
        <f t="shared" si="659"/>
        <v>1958.3333333333333</v>
      </c>
      <c r="R247" s="690">
        <f t="shared" si="659"/>
        <v>1958.3333333333333</v>
      </c>
      <c r="S247" s="690">
        <f t="shared" si="659"/>
        <v>1958.3333333333333</v>
      </c>
      <c r="T247" s="899">
        <v>23500</v>
      </c>
      <c r="U247" s="690">
        <f>$AG247/12</f>
        <v>2056.25</v>
      </c>
      <c r="V247" s="690">
        <f t="shared" ref="V247:AF247" si="660">$AG247/12</f>
        <v>2056.25</v>
      </c>
      <c r="W247" s="690">
        <f t="shared" si="660"/>
        <v>2056.25</v>
      </c>
      <c r="X247" s="690">
        <f t="shared" si="660"/>
        <v>2056.25</v>
      </c>
      <c r="Y247" s="690">
        <f t="shared" si="660"/>
        <v>2056.25</v>
      </c>
      <c r="Z247" s="690">
        <f t="shared" si="660"/>
        <v>2056.25</v>
      </c>
      <c r="AA247" s="690">
        <f t="shared" si="660"/>
        <v>2056.25</v>
      </c>
      <c r="AB247" s="690">
        <f t="shared" si="660"/>
        <v>2056.25</v>
      </c>
      <c r="AC247" s="690">
        <f t="shared" si="660"/>
        <v>2056.25</v>
      </c>
      <c r="AD247" s="690">
        <f t="shared" si="660"/>
        <v>2056.25</v>
      </c>
      <c r="AE247" s="690">
        <f t="shared" si="660"/>
        <v>2056.25</v>
      </c>
      <c r="AF247" s="690">
        <f t="shared" si="660"/>
        <v>2056.25</v>
      </c>
      <c r="AG247" s="902">
        <f>T247*(1+AG248)</f>
        <v>24675</v>
      </c>
      <c r="AH247" s="902">
        <f t="shared" ref="AH247:AO247" si="661">AG247*(1+AH248)</f>
        <v>25908.75</v>
      </c>
      <c r="AI247" s="902">
        <f t="shared" si="661"/>
        <v>26945.100000000002</v>
      </c>
      <c r="AJ247" s="902">
        <f t="shared" si="661"/>
        <v>27753.453000000001</v>
      </c>
      <c r="AK247" s="902">
        <f t="shared" si="661"/>
        <v>28308.522060000003</v>
      </c>
      <c r="AL247" s="902">
        <f t="shared" si="661"/>
        <v>28591.607280600005</v>
      </c>
      <c r="AM247" s="902">
        <f t="shared" si="661"/>
        <v>28591.607280600005</v>
      </c>
      <c r="AN247" s="902">
        <f t="shared" si="661"/>
        <v>28591.607280600005</v>
      </c>
      <c r="AO247" s="996">
        <f t="shared" si="661"/>
        <v>28591.607280600005</v>
      </c>
    </row>
    <row r="248" spans="1:42" s="987" customFormat="1" ht="13.15" customHeight="1" x14ac:dyDescent="0.2">
      <c r="A248" s="680" t="s">
        <v>324</v>
      </c>
      <c r="B248" s="680"/>
      <c r="C248" s="687"/>
      <c r="D248" s="687"/>
      <c r="E248" s="687"/>
      <c r="F248" s="687"/>
      <c r="G248" s="900"/>
      <c r="H248" s="687"/>
      <c r="I248" s="687"/>
      <c r="J248" s="687"/>
      <c r="K248" s="687"/>
      <c r="L248" s="687"/>
      <c r="M248" s="687"/>
      <c r="N248" s="687"/>
      <c r="O248" s="687"/>
      <c r="P248" s="687"/>
      <c r="Q248" s="687"/>
      <c r="R248" s="687"/>
      <c r="S248" s="687"/>
      <c r="T248" s="916"/>
      <c r="U248" s="687"/>
      <c r="V248" s="687"/>
      <c r="W248" s="687"/>
      <c r="X248" s="687"/>
      <c r="Y248" s="687"/>
      <c r="Z248" s="687"/>
      <c r="AA248" s="687"/>
      <c r="AB248" s="687"/>
      <c r="AC248" s="687"/>
      <c r="AD248" s="687"/>
      <c r="AE248" s="687"/>
      <c r="AF248" s="687"/>
      <c r="AG248" s="921">
        <v>0.05</v>
      </c>
      <c r="AH248" s="921">
        <v>0.05</v>
      </c>
      <c r="AI248" s="921">
        <f>AH248-1%</f>
        <v>0.04</v>
      </c>
      <c r="AJ248" s="921">
        <f>AI248-1%</f>
        <v>0.03</v>
      </c>
      <c r="AK248" s="921">
        <f>AJ248-1%</f>
        <v>1.9999999999999997E-2</v>
      </c>
      <c r="AL248" s="921">
        <f>AK248-1%</f>
        <v>9.9999999999999967E-3</v>
      </c>
      <c r="AM248" s="921">
        <f>AL248-1%</f>
        <v>0</v>
      </c>
      <c r="AN248" s="925">
        <f>AM248</f>
        <v>0</v>
      </c>
      <c r="AO248" s="997">
        <f>AN248</f>
        <v>0</v>
      </c>
    </row>
    <row r="249" spans="1:42" s="987" customFormat="1" ht="13.15" customHeight="1" x14ac:dyDescent="0.2">
      <c r="A249" s="680" t="s">
        <v>248</v>
      </c>
      <c r="B249" s="680"/>
      <c r="C249" s="687">
        <f t="shared" ref="C249:F249" si="662">C222</f>
        <v>0</v>
      </c>
      <c r="D249" s="687">
        <f t="shared" si="662"/>
        <v>0</v>
      </c>
      <c r="E249" s="687">
        <f t="shared" si="662"/>
        <v>0</v>
      </c>
      <c r="F249" s="687">
        <f t="shared" si="662"/>
        <v>0</v>
      </c>
      <c r="G249" s="900">
        <f>F249</f>
        <v>0</v>
      </c>
      <c r="H249" s="687">
        <f t="shared" ref="H249:M249" si="663">H222</f>
        <v>0</v>
      </c>
      <c r="I249" s="687">
        <f t="shared" si="663"/>
        <v>0</v>
      </c>
      <c r="J249" s="687">
        <f t="shared" si="663"/>
        <v>0</v>
      </c>
      <c r="K249" s="687">
        <f t="shared" si="663"/>
        <v>0</v>
      </c>
      <c r="L249" s="687">
        <f t="shared" si="663"/>
        <v>0</v>
      </c>
      <c r="M249" s="687">
        <f t="shared" si="663"/>
        <v>0</v>
      </c>
      <c r="N249" s="687">
        <f t="shared" ref="N249:S249" si="664">N222</f>
        <v>0</v>
      </c>
      <c r="O249" s="687">
        <f t="shared" si="664"/>
        <v>0</v>
      </c>
      <c r="P249" s="687">
        <f t="shared" si="664"/>
        <v>0</v>
      </c>
      <c r="Q249" s="687">
        <f t="shared" si="664"/>
        <v>0</v>
      </c>
      <c r="R249" s="687">
        <f t="shared" si="664"/>
        <v>0</v>
      </c>
      <c r="S249" s="687">
        <f t="shared" si="664"/>
        <v>0</v>
      </c>
      <c r="T249" s="916">
        <f>S249</f>
        <v>0</v>
      </c>
      <c r="U249" s="687">
        <v>0</v>
      </c>
      <c r="V249" s="687">
        <f t="shared" ref="V249:AG249" si="665">U249</f>
        <v>0</v>
      </c>
      <c r="W249" s="687">
        <f t="shared" si="665"/>
        <v>0</v>
      </c>
      <c r="X249" s="687">
        <f t="shared" si="665"/>
        <v>0</v>
      </c>
      <c r="Y249" s="687">
        <f t="shared" si="665"/>
        <v>0</v>
      </c>
      <c r="Z249" s="687">
        <f t="shared" si="665"/>
        <v>0</v>
      </c>
      <c r="AA249" s="687">
        <f t="shared" si="665"/>
        <v>0</v>
      </c>
      <c r="AB249" s="687">
        <f t="shared" si="665"/>
        <v>0</v>
      </c>
      <c r="AC249" s="687">
        <f t="shared" si="665"/>
        <v>0</v>
      </c>
      <c r="AD249" s="687">
        <f t="shared" si="665"/>
        <v>0</v>
      </c>
      <c r="AE249" s="687">
        <f t="shared" si="665"/>
        <v>0</v>
      </c>
      <c r="AF249" s="687">
        <f t="shared" si="665"/>
        <v>0</v>
      </c>
      <c r="AG249" s="916">
        <f t="shared" si="665"/>
        <v>0</v>
      </c>
      <c r="AH249" s="921">
        <f>AG87</f>
        <v>0</v>
      </c>
      <c r="AI249" s="921">
        <f t="shared" ref="AI249:AO249" si="666">AH87</f>
        <v>1.0000000000000002E-2</v>
      </c>
      <c r="AJ249" s="921">
        <f t="shared" si="666"/>
        <v>2.5000000000000001E-2</v>
      </c>
      <c r="AK249" s="921">
        <f t="shared" si="666"/>
        <v>0.05</v>
      </c>
      <c r="AL249" s="921">
        <f t="shared" si="666"/>
        <v>0.1</v>
      </c>
      <c r="AM249" s="921">
        <f t="shared" si="666"/>
        <v>0.12</v>
      </c>
      <c r="AN249" s="921">
        <f t="shared" si="666"/>
        <v>0.13999999999999999</v>
      </c>
      <c r="AO249" s="1004">
        <f t="shared" si="666"/>
        <v>0.15999999999999998</v>
      </c>
    </row>
    <row r="250" spans="1:42" s="18" customFormat="1" ht="13.15" customHeight="1" x14ac:dyDescent="0.2">
      <c r="A250" s="680" t="s">
        <v>251</v>
      </c>
      <c r="B250" s="680"/>
      <c r="C250" s="690">
        <f t="shared" ref="C250:F250" si="667">C247*C249</f>
        <v>0</v>
      </c>
      <c r="D250" s="690">
        <f t="shared" si="667"/>
        <v>0</v>
      </c>
      <c r="E250" s="690">
        <f t="shared" si="667"/>
        <v>0</v>
      </c>
      <c r="F250" s="690">
        <f t="shared" si="667"/>
        <v>0</v>
      </c>
      <c r="G250" s="902">
        <f>SUM(C250:F250)</f>
        <v>0</v>
      </c>
      <c r="H250" s="690">
        <f t="shared" ref="H250:M250" si="668">H247*H249</f>
        <v>0</v>
      </c>
      <c r="I250" s="690">
        <f t="shared" si="668"/>
        <v>0</v>
      </c>
      <c r="J250" s="690">
        <f t="shared" si="668"/>
        <v>0</v>
      </c>
      <c r="K250" s="690">
        <f t="shared" si="668"/>
        <v>0</v>
      </c>
      <c r="L250" s="690">
        <f t="shared" si="668"/>
        <v>0</v>
      </c>
      <c r="M250" s="690">
        <f t="shared" si="668"/>
        <v>0</v>
      </c>
      <c r="N250" s="690">
        <f t="shared" ref="N250:S250" si="669">N247*N249</f>
        <v>0</v>
      </c>
      <c r="O250" s="690">
        <f t="shared" si="669"/>
        <v>0</v>
      </c>
      <c r="P250" s="690">
        <f t="shared" si="669"/>
        <v>0</v>
      </c>
      <c r="Q250" s="690">
        <f t="shared" si="669"/>
        <v>0</v>
      </c>
      <c r="R250" s="690">
        <f t="shared" si="669"/>
        <v>0</v>
      </c>
      <c r="S250" s="690">
        <f t="shared" si="669"/>
        <v>0</v>
      </c>
      <c r="T250" s="917">
        <f>SUM(H250:S250)</f>
        <v>0</v>
      </c>
      <c r="U250" s="690">
        <f t="shared" ref="U250:AF250" si="670">U247*U249</f>
        <v>0</v>
      </c>
      <c r="V250" s="690">
        <f t="shared" si="670"/>
        <v>0</v>
      </c>
      <c r="W250" s="690">
        <f t="shared" si="670"/>
        <v>0</v>
      </c>
      <c r="X250" s="690">
        <f t="shared" si="670"/>
        <v>0</v>
      </c>
      <c r="Y250" s="690">
        <f t="shared" si="670"/>
        <v>0</v>
      </c>
      <c r="Z250" s="690">
        <f t="shared" si="670"/>
        <v>0</v>
      </c>
      <c r="AA250" s="690">
        <f t="shared" si="670"/>
        <v>0</v>
      </c>
      <c r="AB250" s="690">
        <f t="shared" si="670"/>
        <v>0</v>
      </c>
      <c r="AC250" s="690">
        <f t="shared" si="670"/>
        <v>0</v>
      </c>
      <c r="AD250" s="690">
        <f t="shared" si="670"/>
        <v>0</v>
      </c>
      <c r="AE250" s="690">
        <f t="shared" si="670"/>
        <v>0</v>
      </c>
      <c r="AF250" s="690">
        <f t="shared" si="670"/>
        <v>0</v>
      </c>
      <c r="AG250" s="902">
        <f>SUM(U250:AF250)</f>
        <v>0</v>
      </c>
      <c r="AH250" s="902">
        <f>AH247*AVERAGE(AF249,AH249)</f>
        <v>0</v>
      </c>
      <c r="AI250" s="902">
        <f t="shared" ref="AI250:AO250" si="671">AI247*AVERAGE(AH249,AI249)</f>
        <v>134.72550000000004</v>
      </c>
      <c r="AJ250" s="902">
        <f t="shared" si="671"/>
        <v>485.68542750000006</v>
      </c>
      <c r="AK250" s="902">
        <f t="shared" si="671"/>
        <v>1061.5695772500003</v>
      </c>
      <c r="AL250" s="902">
        <f t="shared" si="671"/>
        <v>2144.3705460450005</v>
      </c>
      <c r="AM250" s="902">
        <f t="shared" si="671"/>
        <v>3145.0768008660007</v>
      </c>
      <c r="AN250" s="902">
        <f t="shared" si="671"/>
        <v>3716.9089464780009</v>
      </c>
      <c r="AO250" s="996">
        <f t="shared" si="671"/>
        <v>4288.7410920900002</v>
      </c>
    </row>
    <row r="251" spans="1:42" s="18" customFormat="1" ht="13.15" customHeight="1" x14ac:dyDescent="0.2">
      <c r="A251" s="680" t="s">
        <v>249</v>
      </c>
      <c r="B251" s="680"/>
      <c r="C251" s="686">
        <v>2.5</v>
      </c>
      <c r="D251" s="686">
        <f>C251</f>
        <v>2.5</v>
      </c>
      <c r="E251" s="686">
        <f t="shared" ref="E251:F251" si="672">D251</f>
        <v>2.5</v>
      </c>
      <c r="F251" s="686">
        <f t="shared" si="672"/>
        <v>2.5</v>
      </c>
      <c r="G251" s="903">
        <f>F251</f>
        <v>2.5</v>
      </c>
      <c r="H251" s="686">
        <f>F251</f>
        <v>2.5</v>
      </c>
      <c r="I251" s="686">
        <f t="shared" ref="I251" si="673">H251</f>
        <v>2.5</v>
      </c>
      <c r="J251" s="686">
        <f t="shared" ref="J251" si="674">I251</f>
        <v>2.5</v>
      </c>
      <c r="K251" s="686">
        <f t="shared" ref="K251" si="675">J251</f>
        <v>2.5</v>
      </c>
      <c r="L251" s="686">
        <f t="shared" ref="L251" si="676">K251</f>
        <v>2.5</v>
      </c>
      <c r="M251" s="686">
        <f t="shared" ref="M251" si="677">L251</f>
        <v>2.5</v>
      </c>
      <c r="N251" s="686">
        <f>M251</f>
        <v>2.5</v>
      </c>
      <c r="O251" s="686">
        <f t="shared" ref="O251:T251" si="678">N251</f>
        <v>2.5</v>
      </c>
      <c r="P251" s="686">
        <f t="shared" si="678"/>
        <v>2.5</v>
      </c>
      <c r="Q251" s="686">
        <f t="shared" si="678"/>
        <v>2.5</v>
      </c>
      <c r="R251" s="686">
        <f t="shared" si="678"/>
        <v>2.5</v>
      </c>
      <c r="S251" s="686">
        <f t="shared" si="678"/>
        <v>2.5</v>
      </c>
      <c r="T251" s="903">
        <f t="shared" si="678"/>
        <v>2.5</v>
      </c>
      <c r="U251" s="686">
        <f>S251</f>
        <v>2.5</v>
      </c>
      <c r="V251" s="686">
        <f t="shared" ref="V251:AG251" si="679">U251</f>
        <v>2.5</v>
      </c>
      <c r="W251" s="686">
        <f t="shared" si="679"/>
        <v>2.5</v>
      </c>
      <c r="X251" s="686">
        <f t="shared" si="679"/>
        <v>2.5</v>
      </c>
      <c r="Y251" s="686">
        <f t="shared" si="679"/>
        <v>2.5</v>
      </c>
      <c r="Z251" s="686">
        <f t="shared" si="679"/>
        <v>2.5</v>
      </c>
      <c r="AA251" s="686">
        <f t="shared" si="679"/>
        <v>2.5</v>
      </c>
      <c r="AB251" s="686">
        <f t="shared" si="679"/>
        <v>2.5</v>
      </c>
      <c r="AC251" s="686">
        <f t="shared" si="679"/>
        <v>2.5</v>
      </c>
      <c r="AD251" s="686">
        <f t="shared" si="679"/>
        <v>2.5</v>
      </c>
      <c r="AE251" s="686">
        <f t="shared" si="679"/>
        <v>2.5</v>
      </c>
      <c r="AF251" s="686">
        <f t="shared" si="679"/>
        <v>2.5</v>
      </c>
      <c r="AG251" s="919">
        <f t="shared" si="679"/>
        <v>2.5</v>
      </c>
      <c r="AH251" s="919">
        <f>AF251</f>
        <v>2.5</v>
      </c>
      <c r="AI251" s="919">
        <f t="shared" ref="AI251:AO251" si="680">AH251</f>
        <v>2.5</v>
      </c>
      <c r="AJ251" s="919">
        <f t="shared" si="680"/>
        <v>2.5</v>
      </c>
      <c r="AK251" s="919">
        <f t="shared" si="680"/>
        <v>2.5</v>
      </c>
      <c r="AL251" s="919">
        <f t="shared" si="680"/>
        <v>2.5</v>
      </c>
      <c r="AM251" s="919">
        <f t="shared" si="680"/>
        <v>2.5</v>
      </c>
      <c r="AN251" s="919">
        <f t="shared" si="680"/>
        <v>2.5</v>
      </c>
      <c r="AO251" s="998">
        <f t="shared" si="680"/>
        <v>2.5</v>
      </c>
    </row>
    <row r="252" spans="1:42" s="18" customFormat="1" ht="13.15" customHeight="1" x14ac:dyDescent="0.2">
      <c r="A252" s="680" t="s">
        <v>255</v>
      </c>
      <c r="B252" s="680"/>
      <c r="C252" s="690">
        <f t="shared" ref="C252:F252" si="681">C250*C251</f>
        <v>0</v>
      </c>
      <c r="D252" s="690">
        <f t="shared" si="681"/>
        <v>0</v>
      </c>
      <c r="E252" s="690">
        <f t="shared" si="681"/>
        <v>0</v>
      </c>
      <c r="F252" s="690">
        <f t="shared" si="681"/>
        <v>0</v>
      </c>
      <c r="G252" s="902">
        <f>SUM(C252:F252)</f>
        <v>0</v>
      </c>
      <c r="H252" s="690">
        <f t="shared" ref="H252:M252" si="682">H250*H251</f>
        <v>0</v>
      </c>
      <c r="I252" s="690">
        <f t="shared" si="682"/>
        <v>0</v>
      </c>
      <c r="J252" s="690">
        <f t="shared" si="682"/>
        <v>0</v>
      </c>
      <c r="K252" s="690">
        <f t="shared" si="682"/>
        <v>0</v>
      </c>
      <c r="L252" s="690">
        <f t="shared" si="682"/>
        <v>0</v>
      </c>
      <c r="M252" s="690">
        <f t="shared" si="682"/>
        <v>0</v>
      </c>
      <c r="N252" s="690">
        <f t="shared" ref="N252:S252" si="683">N250*N251</f>
        <v>0</v>
      </c>
      <c r="O252" s="690">
        <f t="shared" si="683"/>
        <v>0</v>
      </c>
      <c r="P252" s="690">
        <f t="shared" si="683"/>
        <v>0</v>
      </c>
      <c r="Q252" s="690">
        <f t="shared" si="683"/>
        <v>0</v>
      </c>
      <c r="R252" s="690">
        <f t="shared" si="683"/>
        <v>0</v>
      </c>
      <c r="S252" s="690">
        <f t="shared" si="683"/>
        <v>0</v>
      </c>
      <c r="T252" s="918">
        <f>SUM(H252:S252)</f>
        <v>0</v>
      </c>
      <c r="U252" s="690">
        <f t="shared" ref="U252:AF252" si="684">U250*U251</f>
        <v>0</v>
      </c>
      <c r="V252" s="690">
        <f t="shared" si="684"/>
        <v>0</v>
      </c>
      <c r="W252" s="690">
        <f t="shared" si="684"/>
        <v>0</v>
      </c>
      <c r="X252" s="690">
        <f t="shared" si="684"/>
        <v>0</v>
      </c>
      <c r="Y252" s="690">
        <f t="shared" si="684"/>
        <v>0</v>
      </c>
      <c r="Z252" s="690">
        <f t="shared" si="684"/>
        <v>0</v>
      </c>
      <c r="AA252" s="690">
        <f t="shared" si="684"/>
        <v>0</v>
      </c>
      <c r="AB252" s="690">
        <f t="shared" si="684"/>
        <v>0</v>
      </c>
      <c r="AC252" s="690">
        <f t="shared" si="684"/>
        <v>0</v>
      </c>
      <c r="AD252" s="690">
        <f t="shared" si="684"/>
        <v>0</v>
      </c>
      <c r="AE252" s="690">
        <f t="shared" si="684"/>
        <v>0</v>
      </c>
      <c r="AF252" s="690">
        <f t="shared" si="684"/>
        <v>0</v>
      </c>
      <c r="AG252" s="918">
        <f>SUM(U252:AF252)</f>
        <v>0</v>
      </c>
      <c r="AH252" s="902">
        <f t="shared" ref="AH252:AO252" si="685">AH250*AH251</f>
        <v>0</v>
      </c>
      <c r="AI252" s="902">
        <f t="shared" si="685"/>
        <v>336.81375000000008</v>
      </c>
      <c r="AJ252" s="902">
        <f t="shared" si="685"/>
        <v>1214.2135687500001</v>
      </c>
      <c r="AK252" s="902">
        <f t="shared" si="685"/>
        <v>2653.9239431250007</v>
      </c>
      <c r="AL252" s="902">
        <f t="shared" si="685"/>
        <v>5360.9263651125011</v>
      </c>
      <c r="AM252" s="902">
        <f t="shared" si="685"/>
        <v>7862.6920021650021</v>
      </c>
      <c r="AN252" s="902">
        <f t="shared" si="685"/>
        <v>9292.2723661950022</v>
      </c>
      <c r="AO252" s="996">
        <f t="shared" si="685"/>
        <v>10721.852730225</v>
      </c>
    </row>
    <row r="253" spans="1:42" s="34" customFormat="1" ht="12.4" customHeight="1" x14ac:dyDescent="0.2">
      <c r="A253" s="1"/>
      <c r="B253" s="1"/>
      <c r="C253" s="1"/>
      <c r="D253" s="1"/>
      <c r="E253" s="1"/>
      <c r="F253" s="1"/>
      <c r="G253" s="26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6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268"/>
      <c r="AH253" s="268"/>
      <c r="AI253" s="268"/>
      <c r="AJ253" s="268"/>
      <c r="AK253" s="268"/>
      <c r="AL253" s="268"/>
      <c r="AM253" s="268"/>
      <c r="AN253" s="268"/>
      <c r="AO253" s="999"/>
      <c r="AP253" s="18"/>
    </row>
    <row r="254" spans="1:42" s="18" customFormat="1" ht="13.15" customHeight="1" x14ac:dyDescent="0.2">
      <c r="A254" s="680" t="s">
        <v>253</v>
      </c>
      <c r="B254" s="680"/>
      <c r="C254" s="689">
        <v>0</v>
      </c>
      <c r="D254" s="689">
        <v>0</v>
      </c>
      <c r="E254" s="689">
        <v>0</v>
      </c>
      <c r="F254" s="689">
        <v>0</v>
      </c>
      <c r="G254" s="902">
        <f>F254</f>
        <v>0</v>
      </c>
      <c r="H254" s="689">
        <v>0</v>
      </c>
      <c r="I254" s="689">
        <v>0</v>
      </c>
      <c r="J254" s="689">
        <v>0</v>
      </c>
      <c r="K254" s="689">
        <v>0</v>
      </c>
      <c r="L254" s="689">
        <v>0</v>
      </c>
      <c r="M254" s="689">
        <v>0</v>
      </c>
      <c r="N254" s="689">
        <v>0</v>
      </c>
      <c r="O254" s="689">
        <v>0</v>
      </c>
      <c r="P254" s="689">
        <v>0</v>
      </c>
      <c r="Q254" s="689">
        <v>0</v>
      </c>
      <c r="R254" s="689">
        <v>0</v>
      </c>
      <c r="S254" s="689">
        <v>0</v>
      </c>
      <c r="T254" s="902">
        <f>S254</f>
        <v>0</v>
      </c>
      <c r="U254" s="689">
        <f>S254</f>
        <v>0</v>
      </c>
      <c r="V254" s="689">
        <f t="shared" ref="V254:AG254" si="686">U254</f>
        <v>0</v>
      </c>
      <c r="W254" s="689">
        <f t="shared" si="686"/>
        <v>0</v>
      </c>
      <c r="X254" s="689">
        <f t="shared" si="686"/>
        <v>0</v>
      </c>
      <c r="Y254" s="689">
        <f t="shared" si="686"/>
        <v>0</v>
      </c>
      <c r="Z254" s="689">
        <f t="shared" si="686"/>
        <v>0</v>
      </c>
      <c r="AA254" s="689">
        <f t="shared" si="686"/>
        <v>0</v>
      </c>
      <c r="AB254" s="689">
        <f t="shared" si="686"/>
        <v>0</v>
      </c>
      <c r="AC254" s="689">
        <f t="shared" si="686"/>
        <v>0</v>
      </c>
      <c r="AD254" s="689">
        <f t="shared" si="686"/>
        <v>0</v>
      </c>
      <c r="AE254" s="689">
        <f t="shared" si="686"/>
        <v>0</v>
      </c>
      <c r="AF254" s="689">
        <f t="shared" si="686"/>
        <v>0</v>
      </c>
      <c r="AG254" s="902">
        <f t="shared" si="686"/>
        <v>0</v>
      </c>
      <c r="AH254" s="899">
        <f>AF254</f>
        <v>0</v>
      </c>
      <c r="AI254" s="899">
        <f t="shared" ref="AI254:AO254" si="687">AH254</f>
        <v>0</v>
      </c>
      <c r="AJ254" s="899">
        <f t="shared" si="687"/>
        <v>0</v>
      </c>
      <c r="AK254" s="899">
        <f t="shared" si="687"/>
        <v>0</v>
      </c>
      <c r="AL254" s="899">
        <f t="shared" si="687"/>
        <v>0</v>
      </c>
      <c r="AM254" s="899">
        <f t="shared" si="687"/>
        <v>0</v>
      </c>
      <c r="AN254" s="899">
        <f t="shared" si="687"/>
        <v>0</v>
      </c>
      <c r="AO254" s="1000">
        <f t="shared" si="687"/>
        <v>0</v>
      </c>
    </row>
    <row r="255" spans="1:42" s="18" customFormat="1" ht="13.15" customHeight="1" x14ac:dyDescent="0.2">
      <c r="A255" s="680" t="s">
        <v>252</v>
      </c>
      <c r="B255" s="680"/>
      <c r="C255" s="689">
        <v>0</v>
      </c>
      <c r="D255" s="689">
        <v>0</v>
      </c>
      <c r="E255" s="689">
        <v>0</v>
      </c>
      <c r="F255" s="689">
        <v>0</v>
      </c>
      <c r="G255" s="902">
        <f>SUM(C255:F255)</f>
        <v>0</v>
      </c>
      <c r="H255" s="689">
        <v>0</v>
      </c>
      <c r="I255" s="689">
        <v>0</v>
      </c>
      <c r="J255" s="689">
        <v>0</v>
      </c>
      <c r="K255" s="689">
        <v>0</v>
      </c>
      <c r="L255" s="689">
        <v>0</v>
      </c>
      <c r="M255" s="689">
        <v>0</v>
      </c>
      <c r="N255" s="689">
        <f t="shared" ref="N255:S255" si="688">100/12</f>
        <v>8.3333333333333339</v>
      </c>
      <c r="O255" s="689">
        <f t="shared" si="688"/>
        <v>8.3333333333333339</v>
      </c>
      <c r="P255" s="689">
        <f t="shared" si="688"/>
        <v>8.3333333333333339</v>
      </c>
      <c r="Q255" s="689">
        <f t="shared" si="688"/>
        <v>8.3333333333333339</v>
      </c>
      <c r="R255" s="689">
        <f t="shared" si="688"/>
        <v>8.3333333333333339</v>
      </c>
      <c r="S255" s="689">
        <f t="shared" si="688"/>
        <v>8.3333333333333339</v>
      </c>
      <c r="T255" s="917">
        <f>SUM(H255:S255)</f>
        <v>50.000000000000007</v>
      </c>
      <c r="U255" s="689">
        <f t="shared" ref="U255:AF255" si="689">100/12</f>
        <v>8.3333333333333339</v>
      </c>
      <c r="V255" s="689">
        <f t="shared" si="689"/>
        <v>8.3333333333333339</v>
      </c>
      <c r="W255" s="689">
        <f t="shared" si="689"/>
        <v>8.3333333333333339</v>
      </c>
      <c r="X255" s="689">
        <f t="shared" si="689"/>
        <v>8.3333333333333339</v>
      </c>
      <c r="Y255" s="689">
        <f t="shared" si="689"/>
        <v>8.3333333333333339</v>
      </c>
      <c r="Z255" s="689">
        <f t="shared" si="689"/>
        <v>8.3333333333333339</v>
      </c>
      <c r="AA255" s="689">
        <f t="shared" si="689"/>
        <v>8.3333333333333339</v>
      </c>
      <c r="AB255" s="689">
        <f t="shared" si="689"/>
        <v>8.3333333333333339</v>
      </c>
      <c r="AC255" s="689">
        <f t="shared" si="689"/>
        <v>8.3333333333333339</v>
      </c>
      <c r="AD255" s="689">
        <f t="shared" si="689"/>
        <v>8.3333333333333339</v>
      </c>
      <c r="AE255" s="689">
        <f t="shared" si="689"/>
        <v>8.3333333333333339</v>
      </c>
      <c r="AF255" s="689">
        <f t="shared" si="689"/>
        <v>8.3333333333333339</v>
      </c>
      <c r="AG255" s="917">
        <f>SUM(U255:AF255)</f>
        <v>99.999999999999986</v>
      </c>
      <c r="AH255" s="899">
        <v>100</v>
      </c>
      <c r="AI255" s="899">
        <v>100</v>
      </c>
      <c r="AJ255" s="899">
        <v>100</v>
      </c>
      <c r="AK255" s="899">
        <v>100</v>
      </c>
      <c r="AL255" s="899">
        <v>100</v>
      </c>
      <c r="AM255" s="899">
        <v>100</v>
      </c>
      <c r="AN255" s="899">
        <v>100</v>
      </c>
      <c r="AO255" s="1000">
        <v>100</v>
      </c>
    </row>
    <row r="256" spans="1:42" s="18" customFormat="1" ht="13.15" customHeight="1" x14ac:dyDescent="0.2">
      <c r="A256" s="680" t="s">
        <v>254</v>
      </c>
      <c r="B256" s="680"/>
      <c r="C256" s="690">
        <f t="shared" ref="C256:F256" si="690">C254*C255</f>
        <v>0</v>
      </c>
      <c r="D256" s="690">
        <f t="shared" si="690"/>
        <v>0</v>
      </c>
      <c r="E256" s="690">
        <f t="shared" si="690"/>
        <v>0</v>
      </c>
      <c r="F256" s="690">
        <f t="shared" si="690"/>
        <v>0</v>
      </c>
      <c r="G256" s="902">
        <f>SUM(C256:F256)</f>
        <v>0</v>
      </c>
      <c r="H256" s="690">
        <f t="shared" ref="H256:M256" si="691">H254*H255</f>
        <v>0</v>
      </c>
      <c r="I256" s="690">
        <f t="shared" si="691"/>
        <v>0</v>
      </c>
      <c r="J256" s="690">
        <f t="shared" si="691"/>
        <v>0</v>
      </c>
      <c r="K256" s="690">
        <f t="shared" si="691"/>
        <v>0</v>
      </c>
      <c r="L256" s="690">
        <f t="shared" si="691"/>
        <v>0</v>
      </c>
      <c r="M256" s="690">
        <f t="shared" si="691"/>
        <v>0</v>
      </c>
      <c r="N256" s="690">
        <f t="shared" ref="N256:S256" si="692">N254*N255</f>
        <v>0</v>
      </c>
      <c r="O256" s="690">
        <f t="shared" si="692"/>
        <v>0</v>
      </c>
      <c r="P256" s="690">
        <f t="shared" si="692"/>
        <v>0</v>
      </c>
      <c r="Q256" s="690">
        <f t="shared" si="692"/>
        <v>0</v>
      </c>
      <c r="R256" s="690">
        <f t="shared" si="692"/>
        <v>0</v>
      </c>
      <c r="S256" s="690">
        <f t="shared" si="692"/>
        <v>0</v>
      </c>
      <c r="T256" s="917">
        <f>SUM(H256:S256)</f>
        <v>0</v>
      </c>
      <c r="U256" s="690">
        <f t="shared" ref="U256:AF256" si="693">U254*U255</f>
        <v>0</v>
      </c>
      <c r="V256" s="690">
        <f t="shared" si="693"/>
        <v>0</v>
      </c>
      <c r="W256" s="690">
        <f t="shared" si="693"/>
        <v>0</v>
      </c>
      <c r="X256" s="690">
        <f t="shared" si="693"/>
        <v>0</v>
      </c>
      <c r="Y256" s="690">
        <f t="shared" si="693"/>
        <v>0</v>
      </c>
      <c r="Z256" s="690">
        <f t="shared" si="693"/>
        <v>0</v>
      </c>
      <c r="AA256" s="690">
        <f t="shared" si="693"/>
        <v>0</v>
      </c>
      <c r="AB256" s="690">
        <f t="shared" si="693"/>
        <v>0</v>
      </c>
      <c r="AC256" s="690">
        <f t="shared" si="693"/>
        <v>0</v>
      </c>
      <c r="AD256" s="690">
        <f t="shared" si="693"/>
        <v>0</v>
      </c>
      <c r="AE256" s="690">
        <f t="shared" si="693"/>
        <v>0</v>
      </c>
      <c r="AF256" s="690">
        <f t="shared" si="693"/>
        <v>0</v>
      </c>
      <c r="AG256" s="902">
        <f>SUM(U256:AF256)</f>
        <v>0</v>
      </c>
      <c r="AH256" s="902">
        <f t="shared" ref="AH256:AO256" si="694">AH254*AH255</f>
        <v>0</v>
      </c>
      <c r="AI256" s="902">
        <f t="shared" si="694"/>
        <v>0</v>
      </c>
      <c r="AJ256" s="902">
        <f t="shared" si="694"/>
        <v>0</v>
      </c>
      <c r="AK256" s="902">
        <f t="shared" si="694"/>
        <v>0</v>
      </c>
      <c r="AL256" s="902">
        <f t="shared" si="694"/>
        <v>0</v>
      </c>
      <c r="AM256" s="902">
        <f t="shared" si="694"/>
        <v>0</v>
      </c>
      <c r="AN256" s="902">
        <f t="shared" si="694"/>
        <v>0</v>
      </c>
      <c r="AO256" s="996">
        <f t="shared" si="694"/>
        <v>0</v>
      </c>
    </row>
    <row r="257" spans="1:42" s="18" customFormat="1" ht="13.15" customHeight="1" x14ac:dyDescent="0.2">
      <c r="A257" s="680" t="s">
        <v>249</v>
      </c>
      <c r="B257" s="680"/>
      <c r="C257" s="686">
        <f t="shared" ref="C257:F257" si="695">C251</f>
        <v>2.5</v>
      </c>
      <c r="D257" s="686">
        <f t="shared" si="695"/>
        <v>2.5</v>
      </c>
      <c r="E257" s="686">
        <f t="shared" si="695"/>
        <v>2.5</v>
      </c>
      <c r="F257" s="686">
        <f t="shared" si="695"/>
        <v>2.5</v>
      </c>
      <c r="G257" s="903">
        <f>F257</f>
        <v>2.5</v>
      </c>
      <c r="H257" s="686">
        <f t="shared" ref="H257:M257" si="696">H251</f>
        <v>2.5</v>
      </c>
      <c r="I257" s="686">
        <f t="shared" si="696"/>
        <v>2.5</v>
      </c>
      <c r="J257" s="686">
        <f t="shared" si="696"/>
        <v>2.5</v>
      </c>
      <c r="K257" s="686">
        <f t="shared" si="696"/>
        <v>2.5</v>
      </c>
      <c r="L257" s="686">
        <f t="shared" si="696"/>
        <v>2.5</v>
      </c>
      <c r="M257" s="686">
        <f t="shared" si="696"/>
        <v>2.5</v>
      </c>
      <c r="N257" s="686">
        <f t="shared" ref="N257:AO257" si="697">N251</f>
        <v>2.5</v>
      </c>
      <c r="O257" s="686">
        <f t="shared" si="697"/>
        <v>2.5</v>
      </c>
      <c r="P257" s="686">
        <f t="shared" si="697"/>
        <v>2.5</v>
      </c>
      <c r="Q257" s="686">
        <f t="shared" si="697"/>
        <v>2.5</v>
      </c>
      <c r="R257" s="686">
        <f t="shared" si="697"/>
        <v>2.5</v>
      </c>
      <c r="S257" s="686">
        <f t="shared" si="697"/>
        <v>2.5</v>
      </c>
      <c r="T257" s="919">
        <f t="shared" si="697"/>
        <v>2.5</v>
      </c>
      <c r="U257" s="686">
        <f t="shared" si="697"/>
        <v>2.5</v>
      </c>
      <c r="V257" s="686">
        <f t="shared" si="697"/>
        <v>2.5</v>
      </c>
      <c r="W257" s="686">
        <f t="shared" si="697"/>
        <v>2.5</v>
      </c>
      <c r="X257" s="686">
        <f t="shared" si="697"/>
        <v>2.5</v>
      </c>
      <c r="Y257" s="686">
        <f t="shared" si="697"/>
        <v>2.5</v>
      </c>
      <c r="Z257" s="686">
        <f t="shared" si="697"/>
        <v>2.5</v>
      </c>
      <c r="AA257" s="686">
        <f t="shared" si="697"/>
        <v>2.5</v>
      </c>
      <c r="AB257" s="686">
        <f t="shared" si="697"/>
        <v>2.5</v>
      </c>
      <c r="AC257" s="686">
        <f t="shared" si="697"/>
        <v>2.5</v>
      </c>
      <c r="AD257" s="686">
        <f t="shared" si="697"/>
        <v>2.5</v>
      </c>
      <c r="AE257" s="686">
        <f t="shared" si="697"/>
        <v>2.5</v>
      </c>
      <c r="AF257" s="686">
        <f t="shared" si="697"/>
        <v>2.5</v>
      </c>
      <c r="AG257" s="919">
        <f t="shared" si="697"/>
        <v>2.5</v>
      </c>
      <c r="AH257" s="919">
        <f t="shared" si="697"/>
        <v>2.5</v>
      </c>
      <c r="AI257" s="919">
        <f t="shared" si="697"/>
        <v>2.5</v>
      </c>
      <c r="AJ257" s="919">
        <f t="shared" si="697"/>
        <v>2.5</v>
      </c>
      <c r="AK257" s="919">
        <f t="shared" si="697"/>
        <v>2.5</v>
      </c>
      <c r="AL257" s="919">
        <f t="shared" si="697"/>
        <v>2.5</v>
      </c>
      <c r="AM257" s="919">
        <f t="shared" si="697"/>
        <v>2.5</v>
      </c>
      <c r="AN257" s="919">
        <f t="shared" si="697"/>
        <v>2.5</v>
      </c>
      <c r="AO257" s="998">
        <f t="shared" si="697"/>
        <v>2.5</v>
      </c>
    </row>
    <row r="258" spans="1:42" s="18" customFormat="1" ht="13.15" customHeight="1" x14ac:dyDescent="0.2">
      <c r="A258" s="680" t="s">
        <v>255</v>
      </c>
      <c r="B258" s="680"/>
      <c r="C258" s="690">
        <f t="shared" ref="C258:F258" si="698">C256*C257</f>
        <v>0</v>
      </c>
      <c r="D258" s="690">
        <f t="shared" si="698"/>
        <v>0</v>
      </c>
      <c r="E258" s="690">
        <f t="shared" si="698"/>
        <v>0</v>
      </c>
      <c r="F258" s="690">
        <f t="shared" si="698"/>
        <v>0</v>
      </c>
      <c r="G258" s="902">
        <f>SUM(C258:F258)</f>
        <v>0</v>
      </c>
      <c r="H258" s="690">
        <f t="shared" ref="H258:M258" si="699">H256*H257</f>
        <v>0</v>
      </c>
      <c r="I258" s="690">
        <f t="shared" si="699"/>
        <v>0</v>
      </c>
      <c r="J258" s="690">
        <f t="shared" si="699"/>
        <v>0</v>
      </c>
      <c r="K258" s="690">
        <f t="shared" si="699"/>
        <v>0</v>
      </c>
      <c r="L258" s="690">
        <f t="shared" si="699"/>
        <v>0</v>
      </c>
      <c r="M258" s="690">
        <f t="shared" si="699"/>
        <v>0</v>
      </c>
      <c r="N258" s="690">
        <f t="shared" ref="N258:S258" si="700">N256*N257</f>
        <v>0</v>
      </c>
      <c r="O258" s="690">
        <f t="shared" si="700"/>
        <v>0</v>
      </c>
      <c r="P258" s="690">
        <f t="shared" si="700"/>
        <v>0</v>
      </c>
      <c r="Q258" s="690">
        <f t="shared" si="700"/>
        <v>0</v>
      </c>
      <c r="R258" s="690">
        <f t="shared" si="700"/>
        <v>0</v>
      </c>
      <c r="S258" s="690">
        <f t="shared" si="700"/>
        <v>0</v>
      </c>
      <c r="T258" s="918">
        <f>SUM(H258:S258)</f>
        <v>0</v>
      </c>
      <c r="U258" s="690">
        <f t="shared" ref="U258:AF258" si="701">U256*U257</f>
        <v>0</v>
      </c>
      <c r="V258" s="690">
        <f t="shared" si="701"/>
        <v>0</v>
      </c>
      <c r="W258" s="690">
        <f t="shared" si="701"/>
        <v>0</v>
      </c>
      <c r="X258" s="690">
        <f t="shared" si="701"/>
        <v>0</v>
      </c>
      <c r="Y258" s="690">
        <f t="shared" si="701"/>
        <v>0</v>
      </c>
      <c r="Z258" s="690">
        <f t="shared" si="701"/>
        <v>0</v>
      </c>
      <c r="AA258" s="690">
        <f t="shared" si="701"/>
        <v>0</v>
      </c>
      <c r="AB258" s="690">
        <f t="shared" si="701"/>
        <v>0</v>
      </c>
      <c r="AC258" s="690">
        <f t="shared" si="701"/>
        <v>0</v>
      </c>
      <c r="AD258" s="690">
        <f t="shared" si="701"/>
        <v>0</v>
      </c>
      <c r="AE258" s="690">
        <f t="shared" si="701"/>
        <v>0</v>
      </c>
      <c r="AF258" s="690">
        <f t="shared" si="701"/>
        <v>0</v>
      </c>
      <c r="AG258" s="918">
        <f>SUM(U258:AF258)</f>
        <v>0</v>
      </c>
      <c r="AH258" s="902">
        <f t="shared" ref="AH258:AO258" si="702">AH256*AH257</f>
        <v>0</v>
      </c>
      <c r="AI258" s="902">
        <f t="shared" si="702"/>
        <v>0</v>
      </c>
      <c r="AJ258" s="902">
        <f t="shared" si="702"/>
        <v>0</v>
      </c>
      <c r="AK258" s="902">
        <f t="shared" si="702"/>
        <v>0</v>
      </c>
      <c r="AL258" s="902">
        <f t="shared" si="702"/>
        <v>0</v>
      </c>
      <c r="AM258" s="902">
        <f t="shared" si="702"/>
        <v>0</v>
      </c>
      <c r="AN258" s="902">
        <f t="shared" si="702"/>
        <v>0</v>
      </c>
      <c r="AO258" s="996">
        <f t="shared" si="702"/>
        <v>0</v>
      </c>
    </row>
    <row r="259" spans="1:42" s="18" customFormat="1" ht="13.15" customHeight="1" x14ac:dyDescent="0.2">
      <c r="A259" s="674"/>
      <c r="B259" s="674"/>
      <c r="C259" s="682"/>
      <c r="D259" s="682"/>
      <c r="E259" s="682"/>
      <c r="F259" s="682"/>
      <c r="G259" s="900"/>
      <c r="H259" s="682"/>
      <c r="I259" s="682"/>
      <c r="J259" s="682"/>
      <c r="K259" s="682"/>
      <c r="L259" s="682"/>
      <c r="M259" s="682"/>
      <c r="N259" s="682"/>
      <c r="O259" s="682"/>
      <c r="P259" s="682"/>
      <c r="Q259" s="682"/>
      <c r="R259" s="682"/>
      <c r="S259" s="682"/>
      <c r="T259" s="917"/>
      <c r="U259" s="682"/>
      <c r="V259" s="682"/>
      <c r="W259" s="682"/>
      <c r="X259" s="682"/>
      <c r="Y259" s="682"/>
      <c r="Z259" s="682"/>
      <c r="AA259" s="682"/>
      <c r="AB259" s="682"/>
      <c r="AC259" s="682"/>
      <c r="AD259" s="682"/>
      <c r="AE259" s="682"/>
      <c r="AF259" s="682"/>
      <c r="AG259" s="917"/>
      <c r="AH259" s="917"/>
      <c r="AI259" s="917"/>
      <c r="AJ259" s="917"/>
      <c r="AK259" s="924"/>
      <c r="AL259" s="924"/>
      <c r="AM259" s="924"/>
      <c r="AN259" s="924"/>
      <c r="AO259" s="995"/>
    </row>
    <row r="260" spans="1:42" s="18" customFormat="1" ht="13.15" customHeight="1" x14ac:dyDescent="0.2">
      <c r="A260" s="680" t="s">
        <v>256</v>
      </c>
      <c r="B260" s="680"/>
      <c r="C260" s="689">
        <v>0</v>
      </c>
      <c r="D260" s="689">
        <v>0</v>
      </c>
      <c r="E260" s="689">
        <v>0</v>
      </c>
      <c r="F260" s="689">
        <v>0</v>
      </c>
      <c r="G260" s="902">
        <f>F260</f>
        <v>0</v>
      </c>
      <c r="H260" s="689">
        <v>0</v>
      </c>
      <c r="I260" s="689">
        <v>0</v>
      </c>
      <c r="J260" s="689">
        <v>0</v>
      </c>
      <c r="K260" s="689">
        <v>0</v>
      </c>
      <c r="L260" s="689">
        <v>0</v>
      </c>
      <c r="M260" s="689">
        <v>0</v>
      </c>
      <c r="N260" s="689">
        <v>0</v>
      </c>
      <c r="O260" s="689">
        <v>0</v>
      </c>
      <c r="P260" s="689">
        <v>0</v>
      </c>
      <c r="Q260" s="689">
        <v>0</v>
      </c>
      <c r="R260" s="689">
        <v>0</v>
      </c>
      <c r="S260" s="689">
        <v>0</v>
      </c>
      <c r="T260" s="902">
        <f>S260</f>
        <v>0</v>
      </c>
      <c r="U260" s="689">
        <f>S260</f>
        <v>0</v>
      </c>
      <c r="V260" s="689">
        <f t="shared" ref="V260:AG260" si="703">U260</f>
        <v>0</v>
      </c>
      <c r="W260" s="689">
        <f t="shared" si="703"/>
        <v>0</v>
      </c>
      <c r="X260" s="689">
        <f t="shared" si="703"/>
        <v>0</v>
      </c>
      <c r="Y260" s="689">
        <f t="shared" si="703"/>
        <v>0</v>
      </c>
      <c r="Z260" s="689">
        <f t="shared" si="703"/>
        <v>0</v>
      </c>
      <c r="AA260" s="689">
        <f t="shared" si="703"/>
        <v>0</v>
      </c>
      <c r="AB260" s="689">
        <f t="shared" si="703"/>
        <v>0</v>
      </c>
      <c r="AC260" s="689">
        <f t="shared" si="703"/>
        <v>0</v>
      </c>
      <c r="AD260" s="689">
        <f t="shared" si="703"/>
        <v>0</v>
      </c>
      <c r="AE260" s="689">
        <f t="shared" si="703"/>
        <v>0</v>
      </c>
      <c r="AF260" s="689">
        <f t="shared" si="703"/>
        <v>0</v>
      </c>
      <c r="AG260" s="902">
        <f t="shared" si="703"/>
        <v>0</v>
      </c>
      <c r="AH260" s="899">
        <f>AF260</f>
        <v>0</v>
      </c>
      <c r="AI260" s="899">
        <f t="shared" ref="AI260:AO260" si="704">AH260</f>
        <v>0</v>
      </c>
      <c r="AJ260" s="899">
        <f t="shared" si="704"/>
        <v>0</v>
      </c>
      <c r="AK260" s="899">
        <f t="shared" si="704"/>
        <v>0</v>
      </c>
      <c r="AL260" s="899">
        <f t="shared" si="704"/>
        <v>0</v>
      </c>
      <c r="AM260" s="899">
        <f t="shared" si="704"/>
        <v>0</v>
      </c>
      <c r="AN260" s="899">
        <f t="shared" si="704"/>
        <v>0</v>
      </c>
      <c r="AO260" s="1000">
        <f t="shared" si="704"/>
        <v>0</v>
      </c>
    </row>
    <row r="261" spans="1:42" s="18" customFormat="1" ht="13.15" customHeight="1" x14ac:dyDescent="0.2">
      <c r="A261" s="680" t="s">
        <v>252</v>
      </c>
      <c r="B261" s="680"/>
      <c r="C261" s="689">
        <v>0</v>
      </c>
      <c r="D261" s="689">
        <v>0</v>
      </c>
      <c r="E261" s="689">
        <v>0</v>
      </c>
      <c r="F261" s="689">
        <v>0</v>
      </c>
      <c r="G261" s="902">
        <f>SUM(C261:F261)</f>
        <v>0</v>
      </c>
      <c r="H261" s="689">
        <v>0</v>
      </c>
      <c r="I261" s="689">
        <v>0</v>
      </c>
      <c r="J261" s="689">
        <v>0</v>
      </c>
      <c r="K261" s="689">
        <v>0</v>
      </c>
      <c r="L261" s="689">
        <v>0</v>
      </c>
      <c r="M261" s="689">
        <v>0</v>
      </c>
      <c r="N261" s="689">
        <f t="shared" ref="N261:S261" si="705">300/12</f>
        <v>25</v>
      </c>
      <c r="O261" s="689">
        <f t="shared" si="705"/>
        <v>25</v>
      </c>
      <c r="P261" s="689">
        <f t="shared" si="705"/>
        <v>25</v>
      </c>
      <c r="Q261" s="689">
        <f t="shared" si="705"/>
        <v>25</v>
      </c>
      <c r="R261" s="689">
        <f t="shared" si="705"/>
        <v>25</v>
      </c>
      <c r="S261" s="689">
        <f t="shared" si="705"/>
        <v>25</v>
      </c>
      <c r="T261" s="917">
        <f>SUM(H261:S261)</f>
        <v>150</v>
      </c>
      <c r="U261" s="689">
        <f>300/12</f>
        <v>25</v>
      </c>
      <c r="V261" s="689">
        <f t="shared" ref="V261:AF261" si="706">300/12</f>
        <v>25</v>
      </c>
      <c r="W261" s="689">
        <f t="shared" si="706"/>
        <v>25</v>
      </c>
      <c r="X261" s="689">
        <f t="shared" si="706"/>
        <v>25</v>
      </c>
      <c r="Y261" s="689">
        <f t="shared" si="706"/>
        <v>25</v>
      </c>
      <c r="Z261" s="689">
        <f t="shared" si="706"/>
        <v>25</v>
      </c>
      <c r="AA261" s="689">
        <f t="shared" si="706"/>
        <v>25</v>
      </c>
      <c r="AB261" s="689">
        <f t="shared" si="706"/>
        <v>25</v>
      </c>
      <c r="AC261" s="689">
        <f t="shared" si="706"/>
        <v>25</v>
      </c>
      <c r="AD261" s="689">
        <f t="shared" si="706"/>
        <v>25</v>
      </c>
      <c r="AE261" s="689">
        <f t="shared" si="706"/>
        <v>25</v>
      </c>
      <c r="AF261" s="689">
        <f t="shared" si="706"/>
        <v>25</v>
      </c>
      <c r="AG261" s="917">
        <f>SUM(U261:AF261)</f>
        <v>300</v>
      </c>
      <c r="AH261" s="899">
        <v>300</v>
      </c>
      <c r="AI261" s="899">
        <v>300</v>
      </c>
      <c r="AJ261" s="899">
        <v>300</v>
      </c>
      <c r="AK261" s="899">
        <v>300</v>
      </c>
      <c r="AL261" s="899">
        <v>300</v>
      </c>
      <c r="AM261" s="899">
        <v>300</v>
      </c>
      <c r="AN261" s="899">
        <v>300</v>
      </c>
      <c r="AO261" s="1000">
        <v>300</v>
      </c>
    </row>
    <row r="262" spans="1:42" s="18" customFormat="1" ht="13.15" customHeight="1" x14ac:dyDescent="0.2">
      <c r="A262" s="680" t="s">
        <v>254</v>
      </c>
      <c r="B262" s="680"/>
      <c r="C262" s="690">
        <f t="shared" ref="C262:F262" si="707">C260*C261</f>
        <v>0</v>
      </c>
      <c r="D262" s="690">
        <f t="shared" si="707"/>
        <v>0</v>
      </c>
      <c r="E262" s="690">
        <f t="shared" si="707"/>
        <v>0</v>
      </c>
      <c r="F262" s="690">
        <f t="shared" si="707"/>
        <v>0</v>
      </c>
      <c r="G262" s="902">
        <f>SUM(C262:F262)</f>
        <v>0</v>
      </c>
      <c r="H262" s="690">
        <f t="shared" ref="H262:M262" si="708">H260*H261</f>
        <v>0</v>
      </c>
      <c r="I262" s="690">
        <f t="shared" si="708"/>
        <v>0</v>
      </c>
      <c r="J262" s="690">
        <f t="shared" si="708"/>
        <v>0</v>
      </c>
      <c r="K262" s="690">
        <f t="shared" si="708"/>
        <v>0</v>
      </c>
      <c r="L262" s="690">
        <f t="shared" si="708"/>
        <v>0</v>
      </c>
      <c r="M262" s="690">
        <f t="shared" si="708"/>
        <v>0</v>
      </c>
      <c r="N262" s="690">
        <f t="shared" ref="N262:S262" si="709">N260*N261</f>
        <v>0</v>
      </c>
      <c r="O262" s="690">
        <f t="shared" si="709"/>
        <v>0</v>
      </c>
      <c r="P262" s="690">
        <f t="shared" si="709"/>
        <v>0</v>
      </c>
      <c r="Q262" s="690">
        <f t="shared" si="709"/>
        <v>0</v>
      </c>
      <c r="R262" s="690">
        <f t="shared" si="709"/>
        <v>0</v>
      </c>
      <c r="S262" s="690">
        <f t="shared" si="709"/>
        <v>0</v>
      </c>
      <c r="T262" s="917">
        <f>SUM(H262:S262)</f>
        <v>0</v>
      </c>
      <c r="U262" s="690">
        <f t="shared" ref="U262:AF262" si="710">U260*U261</f>
        <v>0</v>
      </c>
      <c r="V262" s="690">
        <f t="shared" si="710"/>
        <v>0</v>
      </c>
      <c r="W262" s="690">
        <f t="shared" si="710"/>
        <v>0</v>
      </c>
      <c r="X262" s="690">
        <f t="shared" si="710"/>
        <v>0</v>
      </c>
      <c r="Y262" s="690">
        <f t="shared" si="710"/>
        <v>0</v>
      </c>
      <c r="Z262" s="690">
        <f t="shared" si="710"/>
        <v>0</v>
      </c>
      <c r="AA262" s="690">
        <f t="shared" si="710"/>
        <v>0</v>
      </c>
      <c r="AB262" s="690">
        <f t="shared" si="710"/>
        <v>0</v>
      </c>
      <c r="AC262" s="690">
        <f t="shared" si="710"/>
        <v>0</v>
      </c>
      <c r="AD262" s="690">
        <f t="shared" si="710"/>
        <v>0</v>
      </c>
      <c r="AE262" s="690">
        <f t="shared" si="710"/>
        <v>0</v>
      </c>
      <c r="AF262" s="690">
        <f t="shared" si="710"/>
        <v>0</v>
      </c>
      <c r="AG262" s="917">
        <f>SUM(U262:AF262)</f>
        <v>0</v>
      </c>
      <c r="AH262" s="902">
        <f t="shared" ref="AH262:AO262" si="711">AH260*AH261</f>
        <v>0</v>
      </c>
      <c r="AI262" s="902">
        <f t="shared" si="711"/>
        <v>0</v>
      </c>
      <c r="AJ262" s="902">
        <f t="shared" si="711"/>
        <v>0</v>
      </c>
      <c r="AK262" s="902">
        <f t="shared" si="711"/>
        <v>0</v>
      </c>
      <c r="AL262" s="902">
        <f t="shared" si="711"/>
        <v>0</v>
      </c>
      <c r="AM262" s="902">
        <f t="shared" si="711"/>
        <v>0</v>
      </c>
      <c r="AN262" s="902">
        <f t="shared" si="711"/>
        <v>0</v>
      </c>
      <c r="AO262" s="996">
        <f t="shared" si="711"/>
        <v>0</v>
      </c>
    </row>
    <row r="263" spans="1:42" s="18" customFormat="1" ht="13.15" customHeight="1" x14ac:dyDescent="0.2">
      <c r="A263" s="680" t="s">
        <v>249</v>
      </c>
      <c r="B263" s="680"/>
      <c r="C263" s="686">
        <f t="shared" ref="C263:F263" si="712">C251</f>
        <v>2.5</v>
      </c>
      <c r="D263" s="686">
        <f t="shared" si="712"/>
        <v>2.5</v>
      </c>
      <c r="E263" s="686">
        <f t="shared" si="712"/>
        <v>2.5</v>
      </c>
      <c r="F263" s="686">
        <f t="shared" si="712"/>
        <v>2.5</v>
      </c>
      <c r="G263" s="903">
        <f>F263</f>
        <v>2.5</v>
      </c>
      <c r="H263" s="686">
        <f t="shared" ref="H263:M263" si="713">H251</f>
        <v>2.5</v>
      </c>
      <c r="I263" s="686">
        <f t="shared" si="713"/>
        <v>2.5</v>
      </c>
      <c r="J263" s="686">
        <f t="shared" si="713"/>
        <v>2.5</v>
      </c>
      <c r="K263" s="686">
        <f t="shared" si="713"/>
        <v>2.5</v>
      </c>
      <c r="L263" s="686">
        <f t="shared" si="713"/>
        <v>2.5</v>
      </c>
      <c r="M263" s="686">
        <f t="shared" si="713"/>
        <v>2.5</v>
      </c>
      <c r="N263" s="686">
        <f t="shared" ref="N263:AO263" si="714">N251</f>
        <v>2.5</v>
      </c>
      <c r="O263" s="686">
        <f t="shared" si="714"/>
        <v>2.5</v>
      </c>
      <c r="P263" s="686">
        <f t="shared" si="714"/>
        <v>2.5</v>
      </c>
      <c r="Q263" s="686">
        <f t="shared" si="714"/>
        <v>2.5</v>
      </c>
      <c r="R263" s="686">
        <f t="shared" si="714"/>
        <v>2.5</v>
      </c>
      <c r="S263" s="686">
        <f t="shared" si="714"/>
        <v>2.5</v>
      </c>
      <c r="T263" s="919">
        <f t="shared" si="714"/>
        <v>2.5</v>
      </c>
      <c r="U263" s="686">
        <f t="shared" si="714"/>
        <v>2.5</v>
      </c>
      <c r="V263" s="686">
        <f t="shared" si="714"/>
        <v>2.5</v>
      </c>
      <c r="W263" s="686">
        <f t="shared" si="714"/>
        <v>2.5</v>
      </c>
      <c r="X263" s="686">
        <f t="shared" si="714"/>
        <v>2.5</v>
      </c>
      <c r="Y263" s="686">
        <f t="shared" si="714"/>
        <v>2.5</v>
      </c>
      <c r="Z263" s="686">
        <f t="shared" si="714"/>
        <v>2.5</v>
      </c>
      <c r="AA263" s="686">
        <f t="shared" si="714"/>
        <v>2.5</v>
      </c>
      <c r="AB263" s="686">
        <f t="shared" si="714"/>
        <v>2.5</v>
      </c>
      <c r="AC263" s="686">
        <f t="shared" si="714"/>
        <v>2.5</v>
      </c>
      <c r="AD263" s="686">
        <f t="shared" si="714"/>
        <v>2.5</v>
      </c>
      <c r="AE263" s="686">
        <f t="shared" si="714"/>
        <v>2.5</v>
      </c>
      <c r="AF263" s="686">
        <f t="shared" si="714"/>
        <v>2.5</v>
      </c>
      <c r="AG263" s="919">
        <f t="shared" si="714"/>
        <v>2.5</v>
      </c>
      <c r="AH263" s="919">
        <f t="shared" si="714"/>
        <v>2.5</v>
      </c>
      <c r="AI263" s="919">
        <f t="shared" si="714"/>
        <v>2.5</v>
      </c>
      <c r="AJ263" s="919">
        <f t="shared" si="714"/>
        <v>2.5</v>
      </c>
      <c r="AK263" s="919">
        <f t="shared" si="714"/>
        <v>2.5</v>
      </c>
      <c r="AL263" s="919">
        <f t="shared" si="714"/>
        <v>2.5</v>
      </c>
      <c r="AM263" s="919">
        <f t="shared" si="714"/>
        <v>2.5</v>
      </c>
      <c r="AN263" s="919">
        <f t="shared" si="714"/>
        <v>2.5</v>
      </c>
      <c r="AO263" s="998">
        <f t="shared" si="714"/>
        <v>2.5</v>
      </c>
    </row>
    <row r="264" spans="1:42" s="18" customFormat="1" ht="13.15" customHeight="1" x14ac:dyDescent="0.2">
      <c r="A264" s="680" t="s">
        <v>255</v>
      </c>
      <c r="B264" s="680"/>
      <c r="C264" s="690">
        <f t="shared" ref="C264:F264" si="715">C262*C263</f>
        <v>0</v>
      </c>
      <c r="D264" s="690">
        <f t="shared" si="715"/>
        <v>0</v>
      </c>
      <c r="E264" s="690">
        <f t="shared" si="715"/>
        <v>0</v>
      </c>
      <c r="F264" s="690">
        <f t="shared" si="715"/>
        <v>0</v>
      </c>
      <c r="G264" s="902">
        <f>SUM(C264:F264)</f>
        <v>0</v>
      </c>
      <c r="H264" s="690">
        <f t="shared" ref="H264:M264" si="716">H262*H263</f>
        <v>0</v>
      </c>
      <c r="I264" s="690">
        <f t="shared" si="716"/>
        <v>0</v>
      </c>
      <c r="J264" s="690">
        <f t="shared" si="716"/>
        <v>0</v>
      </c>
      <c r="K264" s="690">
        <f t="shared" si="716"/>
        <v>0</v>
      </c>
      <c r="L264" s="690">
        <f t="shared" si="716"/>
        <v>0</v>
      </c>
      <c r="M264" s="690">
        <f t="shared" si="716"/>
        <v>0</v>
      </c>
      <c r="N264" s="690">
        <f t="shared" ref="N264:S264" si="717">N262*N263</f>
        <v>0</v>
      </c>
      <c r="O264" s="690">
        <f t="shared" si="717"/>
        <v>0</v>
      </c>
      <c r="P264" s="690">
        <f t="shared" si="717"/>
        <v>0</v>
      </c>
      <c r="Q264" s="690">
        <f t="shared" si="717"/>
        <v>0</v>
      </c>
      <c r="R264" s="690">
        <f t="shared" si="717"/>
        <v>0</v>
      </c>
      <c r="S264" s="690">
        <f t="shared" si="717"/>
        <v>0</v>
      </c>
      <c r="T264" s="918">
        <f>SUM(H264:S264)</f>
        <v>0</v>
      </c>
      <c r="U264" s="690">
        <f t="shared" ref="U264:AF264" si="718">U262*U263</f>
        <v>0</v>
      </c>
      <c r="V264" s="690">
        <f t="shared" si="718"/>
        <v>0</v>
      </c>
      <c r="W264" s="690">
        <f t="shared" si="718"/>
        <v>0</v>
      </c>
      <c r="X264" s="690">
        <f t="shared" si="718"/>
        <v>0</v>
      </c>
      <c r="Y264" s="690">
        <f t="shared" si="718"/>
        <v>0</v>
      </c>
      <c r="Z264" s="690">
        <f t="shared" si="718"/>
        <v>0</v>
      </c>
      <c r="AA264" s="690">
        <f t="shared" si="718"/>
        <v>0</v>
      </c>
      <c r="AB264" s="690">
        <f t="shared" si="718"/>
        <v>0</v>
      </c>
      <c r="AC264" s="690">
        <f t="shared" si="718"/>
        <v>0</v>
      </c>
      <c r="AD264" s="690">
        <f t="shared" si="718"/>
        <v>0</v>
      </c>
      <c r="AE264" s="690">
        <f t="shared" si="718"/>
        <v>0</v>
      </c>
      <c r="AF264" s="690">
        <f t="shared" si="718"/>
        <v>0</v>
      </c>
      <c r="AG264" s="918">
        <f>SUM(U264:AF264)</f>
        <v>0</v>
      </c>
      <c r="AH264" s="902">
        <f t="shared" ref="AH264:AO264" si="719">AH262*AH263</f>
        <v>0</v>
      </c>
      <c r="AI264" s="902">
        <f t="shared" si="719"/>
        <v>0</v>
      </c>
      <c r="AJ264" s="902">
        <f t="shared" si="719"/>
        <v>0</v>
      </c>
      <c r="AK264" s="902">
        <f t="shared" si="719"/>
        <v>0</v>
      </c>
      <c r="AL264" s="902">
        <f t="shared" si="719"/>
        <v>0</v>
      </c>
      <c r="AM264" s="902">
        <f t="shared" si="719"/>
        <v>0</v>
      </c>
      <c r="AN264" s="902">
        <f t="shared" si="719"/>
        <v>0</v>
      </c>
      <c r="AO264" s="996">
        <f t="shared" si="719"/>
        <v>0</v>
      </c>
    </row>
    <row r="265" spans="1:42" s="18" customFormat="1" ht="13.15" customHeight="1" x14ac:dyDescent="0.2">
      <c r="A265" s="680"/>
      <c r="B265" s="680"/>
      <c r="C265" s="682"/>
      <c r="D265" s="682"/>
      <c r="E265" s="682"/>
      <c r="F265" s="682"/>
      <c r="G265" s="900"/>
      <c r="H265" s="682"/>
      <c r="I265" s="682"/>
      <c r="J265" s="682"/>
      <c r="K265" s="682"/>
      <c r="L265" s="682"/>
      <c r="M265" s="682"/>
      <c r="N265" s="682"/>
      <c r="O265" s="682"/>
      <c r="P265" s="682"/>
      <c r="Q265" s="682"/>
      <c r="R265" s="682"/>
      <c r="S265" s="682"/>
      <c r="T265" s="917"/>
      <c r="U265" s="682"/>
      <c r="V265" s="682"/>
      <c r="W265" s="682"/>
      <c r="X265" s="682"/>
      <c r="Y265" s="682"/>
      <c r="Z265" s="682"/>
      <c r="AA265" s="682"/>
      <c r="AB265" s="682"/>
      <c r="AC265" s="682"/>
      <c r="AD265" s="682"/>
      <c r="AE265" s="682"/>
      <c r="AF265" s="682"/>
      <c r="AG265" s="917"/>
      <c r="AH265" s="917"/>
      <c r="AI265" s="917"/>
      <c r="AJ265" s="917"/>
      <c r="AK265" s="924"/>
      <c r="AL265" s="924"/>
      <c r="AM265" s="924"/>
      <c r="AN265" s="924"/>
      <c r="AO265" s="995"/>
    </row>
    <row r="266" spans="1:42" s="277" customFormat="1" ht="13.15" customHeight="1" x14ac:dyDescent="0.2">
      <c r="A266" s="676" t="s">
        <v>257</v>
      </c>
      <c r="B266" s="676"/>
      <c r="C266" s="694">
        <f t="shared" ref="C266:F266" si="720">C252+C258+C264</f>
        <v>0</v>
      </c>
      <c r="D266" s="694">
        <f t="shared" si="720"/>
        <v>0</v>
      </c>
      <c r="E266" s="694">
        <f t="shared" si="720"/>
        <v>0</v>
      </c>
      <c r="F266" s="694">
        <f t="shared" si="720"/>
        <v>0</v>
      </c>
      <c r="G266" s="904">
        <f>SUM(C266:F266)</f>
        <v>0</v>
      </c>
      <c r="H266" s="694">
        <f t="shared" ref="H266:M266" si="721">H252+H258+H264</f>
        <v>0</v>
      </c>
      <c r="I266" s="694">
        <f t="shared" si="721"/>
        <v>0</v>
      </c>
      <c r="J266" s="694">
        <f t="shared" si="721"/>
        <v>0</v>
      </c>
      <c r="K266" s="694">
        <f t="shared" si="721"/>
        <v>0</v>
      </c>
      <c r="L266" s="694">
        <f t="shared" si="721"/>
        <v>0</v>
      </c>
      <c r="M266" s="694">
        <f t="shared" si="721"/>
        <v>0</v>
      </c>
      <c r="N266" s="694">
        <f t="shared" ref="N266:S266" si="722">N252+N258+N264</f>
        <v>0</v>
      </c>
      <c r="O266" s="694">
        <f t="shared" si="722"/>
        <v>0</v>
      </c>
      <c r="P266" s="694">
        <f t="shared" si="722"/>
        <v>0</v>
      </c>
      <c r="Q266" s="694">
        <f t="shared" si="722"/>
        <v>0</v>
      </c>
      <c r="R266" s="694">
        <f t="shared" si="722"/>
        <v>0</v>
      </c>
      <c r="S266" s="694">
        <f t="shared" si="722"/>
        <v>0</v>
      </c>
      <c r="T266" s="915">
        <f>SUM(H266:S266)</f>
        <v>0</v>
      </c>
      <c r="U266" s="694">
        <f t="shared" ref="U266:AF266" si="723">U252+U258+U264</f>
        <v>0</v>
      </c>
      <c r="V266" s="694">
        <f t="shared" si="723"/>
        <v>0</v>
      </c>
      <c r="W266" s="694">
        <f t="shared" si="723"/>
        <v>0</v>
      </c>
      <c r="X266" s="694">
        <f t="shared" si="723"/>
        <v>0</v>
      </c>
      <c r="Y266" s="694">
        <f t="shared" si="723"/>
        <v>0</v>
      </c>
      <c r="Z266" s="694">
        <f t="shared" si="723"/>
        <v>0</v>
      </c>
      <c r="AA266" s="694">
        <f t="shared" si="723"/>
        <v>0</v>
      </c>
      <c r="AB266" s="694">
        <f t="shared" si="723"/>
        <v>0</v>
      </c>
      <c r="AC266" s="694">
        <f t="shared" si="723"/>
        <v>0</v>
      </c>
      <c r="AD266" s="694">
        <f t="shared" si="723"/>
        <v>0</v>
      </c>
      <c r="AE266" s="694">
        <f t="shared" si="723"/>
        <v>0</v>
      </c>
      <c r="AF266" s="694">
        <f t="shared" si="723"/>
        <v>0</v>
      </c>
      <c r="AG266" s="904">
        <f>SUM(U266:AF266)</f>
        <v>0</v>
      </c>
      <c r="AH266" s="904">
        <f t="shared" ref="AH266:AO266" si="724">AH252+AH258+AH264</f>
        <v>0</v>
      </c>
      <c r="AI266" s="904">
        <f t="shared" si="724"/>
        <v>336.81375000000008</v>
      </c>
      <c r="AJ266" s="904">
        <f t="shared" si="724"/>
        <v>1214.2135687500001</v>
      </c>
      <c r="AK266" s="904">
        <f t="shared" si="724"/>
        <v>2653.9239431250007</v>
      </c>
      <c r="AL266" s="904">
        <f t="shared" si="724"/>
        <v>5360.9263651125011</v>
      </c>
      <c r="AM266" s="904">
        <f t="shared" si="724"/>
        <v>7862.6920021650021</v>
      </c>
      <c r="AN266" s="904">
        <f t="shared" si="724"/>
        <v>9292.2723661950022</v>
      </c>
      <c r="AO266" s="1001">
        <f t="shared" si="724"/>
        <v>10721.852730225</v>
      </c>
    </row>
    <row r="267" spans="1:42" s="18" customFormat="1" ht="13.15" customHeight="1" x14ac:dyDescent="0.2">
      <c r="A267" s="680"/>
      <c r="B267" s="680"/>
      <c r="C267" s="682"/>
      <c r="D267" s="682"/>
      <c r="E267" s="682"/>
      <c r="F267" s="682"/>
      <c r="G267" s="900"/>
      <c r="H267" s="682"/>
      <c r="I267" s="682"/>
      <c r="J267" s="682"/>
      <c r="K267" s="682"/>
      <c r="L267" s="682"/>
      <c r="M267" s="682"/>
      <c r="N267" s="682"/>
      <c r="O267" s="682"/>
      <c r="P267" s="682"/>
      <c r="Q267" s="682"/>
      <c r="R267" s="682"/>
      <c r="S267" s="682"/>
      <c r="T267" s="917"/>
      <c r="U267" s="682"/>
      <c r="V267" s="682"/>
      <c r="W267" s="682"/>
      <c r="X267" s="682"/>
      <c r="Y267" s="682"/>
      <c r="Z267" s="682"/>
      <c r="AA267" s="682"/>
      <c r="AB267" s="682"/>
      <c r="AC267" s="682"/>
      <c r="AD267" s="682"/>
      <c r="AE267" s="682"/>
      <c r="AF267" s="682"/>
      <c r="AG267" s="917"/>
      <c r="AH267" s="917"/>
      <c r="AI267" s="917"/>
      <c r="AJ267" s="917"/>
      <c r="AK267" s="924"/>
      <c r="AL267" s="924"/>
      <c r="AM267" s="924"/>
      <c r="AN267" s="924"/>
      <c r="AO267" s="995"/>
    </row>
    <row r="268" spans="1:42" s="18" customFormat="1" ht="13.15" customHeight="1" x14ac:dyDescent="0.2">
      <c r="A268" s="680" t="s">
        <v>258</v>
      </c>
      <c r="B268" s="680"/>
      <c r="C268" s="767">
        <f t="shared" ref="C268:F268" si="725">C187</f>
        <v>300</v>
      </c>
      <c r="D268" s="767">
        <f t="shared" si="725"/>
        <v>300</v>
      </c>
      <c r="E268" s="767">
        <f t="shared" si="725"/>
        <v>300</v>
      </c>
      <c r="F268" s="767">
        <f t="shared" si="725"/>
        <v>300</v>
      </c>
      <c r="G268" s="905">
        <f>F268</f>
        <v>300</v>
      </c>
      <c r="H268" s="767">
        <f t="shared" ref="H268:M268" si="726">H187</f>
        <v>300</v>
      </c>
      <c r="I268" s="767">
        <f t="shared" si="726"/>
        <v>300</v>
      </c>
      <c r="J268" s="767">
        <f t="shared" si="726"/>
        <v>300</v>
      </c>
      <c r="K268" s="767">
        <f t="shared" si="726"/>
        <v>300</v>
      </c>
      <c r="L268" s="767">
        <f t="shared" si="726"/>
        <v>300</v>
      </c>
      <c r="M268" s="767">
        <f t="shared" si="726"/>
        <v>300</v>
      </c>
      <c r="N268" s="767">
        <f t="shared" ref="N268:AO268" si="727">N$25</f>
        <v>300</v>
      </c>
      <c r="O268" s="767">
        <f t="shared" si="727"/>
        <v>300</v>
      </c>
      <c r="P268" s="767">
        <f t="shared" si="727"/>
        <v>300</v>
      </c>
      <c r="Q268" s="767">
        <f t="shared" si="727"/>
        <v>300</v>
      </c>
      <c r="R268" s="767">
        <f t="shared" si="727"/>
        <v>300</v>
      </c>
      <c r="S268" s="767">
        <f t="shared" si="727"/>
        <v>300</v>
      </c>
      <c r="T268" s="905">
        <f t="shared" si="727"/>
        <v>300</v>
      </c>
      <c r="U268" s="767">
        <f t="shared" si="727"/>
        <v>300</v>
      </c>
      <c r="V268" s="767">
        <f t="shared" si="727"/>
        <v>300</v>
      </c>
      <c r="W268" s="767">
        <f t="shared" si="727"/>
        <v>300</v>
      </c>
      <c r="X268" s="767">
        <f t="shared" si="727"/>
        <v>300</v>
      </c>
      <c r="Y268" s="767">
        <f t="shared" si="727"/>
        <v>300</v>
      </c>
      <c r="Z268" s="767">
        <f t="shared" si="727"/>
        <v>300</v>
      </c>
      <c r="AA268" s="767">
        <f t="shared" si="727"/>
        <v>300</v>
      </c>
      <c r="AB268" s="767">
        <f t="shared" si="727"/>
        <v>300</v>
      </c>
      <c r="AC268" s="767">
        <f t="shared" si="727"/>
        <v>300</v>
      </c>
      <c r="AD268" s="767">
        <f t="shared" si="727"/>
        <v>300</v>
      </c>
      <c r="AE268" s="767">
        <f t="shared" si="727"/>
        <v>300</v>
      </c>
      <c r="AF268" s="767">
        <f t="shared" si="727"/>
        <v>300</v>
      </c>
      <c r="AG268" s="905">
        <f t="shared" si="727"/>
        <v>300</v>
      </c>
      <c r="AH268" s="905">
        <f t="shared" si="727"/>
        <v>300</v>
      </c>
      <c r="AI268" s="905">
        <f t="shared" si="727"/>
        <v>300</v>
      </c>
      <c r="AJ268" s="905">
        <f t="shared" si="727"/>
        <v>300</v>
      </c>
      <c r="AK268" s="905">
        <f t="shared" si="727"/>
        <v>300</v>
      </c>
      <c r="AL268" s="905">
        <f t="shared" si="727"/>
        <v>300</v>
      </c>
      <c r="AM268" s="905">
        <f t="shared" si="727"/>
        <v>300</v>
      </c>
      <c r="AN268" s="905">
        <f t="shared" si="727"/>
        <v>300</v>
      </c>
      <c r="AO268" s="1002">
        <f t="shared" si="727"/>
        <v>300</v>
      </c>
      <c r="AP268" s="988"/>
    </row>
    <row r="269" spans="1:42" s="18" customFormat="1" ht="13.15" customHeight="1" x14ac:dyDescent="0.2">
      <c r="A269" s="680"/>
      <c r="B269" s="680"/>
      <c r="C269" s="682"/>
      <c r="D269" s="682"/>
      <c r="E269" s="682"/>
      <c r="F269" s="682"/>
      <c r="G269" s="900"/>
      <c r="H269" s="682"/>
      <c r="I269" s="682"/>
      <c r="J269" s="682"/>
      <c r="K269" s="682"/>
      <c r="L269" s="682"/>
      <c r="M269" s="682"/>
      <c r="N269" s="682"/>
      <c r="O269" s="682"/>
      <c r="P269" s="682"/>
      <c r="Q269" s="682"/>
      <c r="R269" s="682"/>
      <c r="S269" s="682"/>
      <c r="T269" s="917"/>
      <c r="U269" s="682"/>
      <c r="V269" s="682"/>
      <c r="W269" s="682"/>
      <c r="X269" s="682"/>
      <c r="Y269" s="682"/>
      <c r="Z269" s="682"/>
      <c r="AA269" s="682"/>
      <c r="AB269" s="682"/>
      <c r="AC269" s="682"/>
      <c r="AD269" s="682"/>
      <c r="AE269" s="682"/>
      <c r="AF269" s="682"/>
      <c r="AG269" s="917"/>
      <c r="AH269" s="917"/>
      <c r="AI269" s="917"/>
      <c r="AJ269" s="917"/>
      <c r="AK269" s="924"/>
      <c r="AL269" s="924"/>
      <c r="AM269" s="924"/>
      <c r="AN269" s="924"/>
      <c r="AO269" s="995"/>
    </row>
    <row r="270" spans="1:42" s="794" customFormat="1" ht="13.15" customHeight="1" x14ac:dyDescent="0.2">
      <c r="A270" s="763" t="s">
        <v>423</v>
      </c>
      <c r="B270" s="763"/>
      <c r="C270" s="765">
        <f t="shared" ref="C270:F270" si="728">C266*C268</f>
        <v>0</v>
      </c>
      <c r="D270" s="765">
        <f t="shared" si="728"/>
        <v>0</v>
      </c>
      <c r="E270" s="765">
        <f t="shared" si="728"/>
        <v>0</v>
      </c>
      <c r="F270" s="765">
        <f t="shared" si="728"/>
        <v>0</v>
      </c>
      <c r="G270" s="906">
        <f>SUM(C270:F270)</f>
        <v>0</v>
      </c>
      <c r="H270" s="765">
        <f t="shared" ref="H270:M270" si="729">H266*H268</f>
        <v>0</v>
      </c>
      <c r="I270" s="765">
        <f t="shared" si="729"/>
        <v>0</v>
      </c>
      <c r="J270" s="765">
        <f t="shared" si="729"/>
        <v>0</v>
      </c>
      <c r="K270" s="765">
        <f t="shared" si="729"/>
        <v>0</v>
      </c>
      <c r="L270" s="765">
        <f t="shared" si="729"/>
        <v>0</v>
      </c>
      <c r="M270" s="765">
        <f t="shared" si="729"/>
        <v>0</v>
      </c>
      <c r="N270" s="765">
        <f t="shared" ref="N270:S270" si="730">N266*N268</f>
        <v>0</v>
      </c>
      <c r="O270" s="765">
        <f t="shared" si="730"/>
        <v>0</v>
      </c>
      <c r="P270" s="765">
        <f t="shared" si="730"/>
        <v>0</v>
      </c>
      <c r="Q270" s="765">
        <f t="shared" si="730"/>
        <v>0</v>
      </c>
      <c r="R270" s="765">
        <f t="shared" si="730"/>
        <v>0</v>
      </c>
      <c r="S270" s="765">
        <f t="shared" si="730"/>
        <v>0</v>
      </c>
      <c r="T270" s="906">
        <f>SUM(H270:S270)</f>
        <v>0</v>
      </c>
      <c r="U270" s="765">
        <f>U266*U268</f>
        <v>0</v>
      </c>
      <c r="V270" s="765">
        <f t="shared" ref="V270:AF270" si="731">V266*V268</f>
        <v>0</v>
      </c>
      <c r="W270" s="765">
        <f t="shared" si="731"/>
        <v>0</v>
      </c>
      <c r="X270" s="765">
        <f t="shared" si="731"/>
        <v>0</v>
      </c>
      <c r="Y270" s="765">
        <f t="shared" si="731"/>
        <v>0</v>
      </c>
      <c r="Z270" s="765">
        <f t="shared" si="731"/>
        <v>0</v>
      </c>
      <c r="AA270" s="765">
        <f t="shared" si="731"/>
        <v>0</v>
      </c>
      <c r="AB270" s="765">
        <f t="shared" si="731"/>
        <v>0</v>
      </c>
      <c r="AC270" s="765">
        <f t="shared" si="731"/>
        <v>0</v>
      </c>
      <c r="AD270" s="765">
        <f t="shared" si="731"/>
        <v>0</v>
      </c>
      <c r="AE270" s="765">
        <f t="shared" si="731"/>
        <v>0</v>
      </c>
      <c r="AF270" s="765">
        <f t="shared" si="731"/>
        <v>0</v>
      </c>
      <c r="AG270" s="906">
        <f>SUM(U270:AF270)</f>
        <v>0</v>
      </c>
      <c r="AH270" s="906">
        <f t="shared" ref="AH270:AO270" si="732">AH266*AH268</f>
        <v>0</v>
      </c>
      <c r="AI270" s="906">
        <f t="shared" si="732"/>
        <v>101044.12500000003</v>
      </c>
      <c r="AJ270" s="906">
        <f t="shared" si="732"/>
        <v>364264.07062500005</v>
      </c>
      <c r="AK270" s="906">
        <f t="shared" si="732"/>
        <v>796177.18293750018</v>
      </c>
      <c r="AL270" s="906">
        <f t="shared" si="732"/>
        <v>1608277.9095337503</v>
      </c>
      <c r="AM270" s="906">
        <f t="shared" si="732"/>
        <v>2358807.6006495007</v>
      </c>
      <c r="AN270" s="906">
        <f t="shared" si="732"/>
        <v>2787681.7098585009</v>
      </c>
      <c r="AO270" s="1003">
        <f t="shared" si="732"/>
        <v>3216555.8190675001</v>
      </c>
      <c r="AP270" s="277"/>
    </row>
    <row r="271" spans="1:42" s="18" customFormat="1" ht="13.15" customHeight="1" x14ac:dyDescent="0.2">
      <c r="A271" s="680"/>
      <c r="B271" s="680"/>
      <c r="C271" s="680"/>
      <c r="D271" s="680"/>
      <c r="E271" s="680"/>
      <c r="F271" s="680"/>
      <c r="G271" s="900"/>
      <c r="H271" s="682"/>
      <c r="I271" s="682"/>
      <c r="J271" s="682"/>
      <c r="K271" s="682"/>
      <c r="L271" s="682"/>
      <c r="M271" s="682"/>
      <c r="N271" s="682"/>
      <c r="O271" s="682"/>
      <c r="P271" s="682"/>
      <c r="Q271" s="682"/>
      <c r="R271" s="682"/>
      <c r="S271" s="682"/>
      <c r="T271" s="917"/>
      <c r="U271" s="682"/>
      <c r="V271" s="682"/>
      <c r="W271" s="682"/>
      <c r="X271" s="682"/>
      <c r="Y271" s="682"/>
      <c r="Z271" s="682"/>
      <c r="AA271" s="682"/>
      <c r="AB271" s="682"/>
      <c r="AC271" s="682"/>
      <c r="AD271" s="682"/>
      <c r="AE271" s="682"/>
      <c r="AF271" s="682"/>
      <c r="AG271" s="917"/>
      <c r="AH271" s="917"/>
      <c r="AI271" s="917"/>
      <c r="AJ271" s="917"/>
      <c r="AK271" s="924"/>
      <c r="AL271" s="924"/>
      <c r="AM271" s="924"/>
      <c r="AN271" s="924"/>
      <c r="AO271" s="995"/>
    </row>
    <row r="272" spans="1:42" s="18" customFormat="1" ht="13.15" customHeight="1" x14ac:dyDescent="0.2">
      <c r="A272" s="680"/>
      <c r="B272" s="680"/>
      <c r="C272" s="680"/>
      <c r="D272" s="680"/>
      <c r="E272" s="680"/>
      <c r="F272" s="680"/>
      <c r="G272" s="900"/>
      <c r="H272" s="682"/>
      <c r="I272" s="682"/>
      <c r="J272" s="682"/>
      <c r="K272" s="682"/>
      <c r="L272" s="682"/>
      <c r="M272" s="682"/>
      <c r="N272" s="682"/>
      <c r="O272" s="682"/>
      <c r="P272" s="682"/>
      <c r="Q272" s="682"/>
      <c r="R272" s="682"/>
      <c r="S272" s="682"/>
      <c r="T272" s="917"/>
      <c r="U272" s="682"/>
      <c r="V272" s="682"/>
      <c r="W272" s="682"/>
      <c r="X272" s="682"/>
      <c r="Y272" s="682"/>
      <c r="Z272" s="682"/>
      <c r="AA272" s="682"/>
      <c r="AB272" s="682"/>
      <c r="AC272" s="682"/>
      <c r="AD272" s="682"/>
      <c r="AE272" s="682"/>
      <c r="AF272" s="682"/>
      <c r="AG272" s="917"/>
      <c r="AH272" s="917"/>
      <c r="AI272" s="917"/>
      <c r="AJ272" s="917"/>
      <c r="AK272" s="924"/>
      <c r="AL272" s="924"/>
      <c r="AM272" s="924"/>
      <c r="AN272" s="924"/>
      <c r="AO272" s="995"/>
    </row>
    <row r="273" spans="1:42" s="18" customFormat="1" ht="13.15" customHeight="1" x14ac:dyDescent="0.2">
      <c r="A273" s="676" t="s">
        <v>450</v>
      </c>
      <c r="B273" s="676"/>
      <c r="C273" s="676"/>
      <c r="D273" s="676"/>
      <c r="E273" s="676"/>
      <c r="F273" s="676"/>
      <c r="G273" s="898"/>
      <c r="H273" s="678"/>
      <c r="I273" s="678"/>
      <c r="J273" s="678"/>
      <c r="K273" s="678"/>
      <c r="L273" s="678"/>
      <c r="M273" s="678"/>
      <c r="N273" s="678"/>
      <c r="O273" s="678"/>
      <c r="P273" s="678"/>
      <c r="Q273" s="678"/>
      <c r="R273" s="678"/>
      <c r="S273" s="678"/>
      <c r="T273" s="915"/>
      <c r="U273" s="678"/>
      <c r="V273" s="678"/>
      <c r="W273" s="678"/>
      <c r="X273" s="678"/>
      <c r="Y273" s="678"/>
      <c r="Z273" s="678"/>
      <c r="AA273" s="678"/>
      <c r="AB273" s="678"/>
      <c r="AC273" s="678"/>
      <c r="AD273" s="678"/>
      <c r="AE273" s="678"/>
      <c r="AF273" s="678"/>
      <c r="AG273" s="915"/>
      <c r="AH273" s="915"/>
      <c r="AI273" s="915"/>
      <c r="AJ273" s="915"/>
      <c r="AK273" s="924"/>
      <c r="AL273" s="924"/>
      <c r="AM273" s="924"/>
      <c r="AN273" s="924"/>
      <c r="AO273" s="995"/>
    </row>
    <row r="274" spans="1:42" s="18" customFormat="1" ht="13.15" customHeight="1" x14ac:dyDescent="0.2">
      <c r="A274" s="674" t="s">
        <v>250</v>
      </c>
      <c r="B274" s="674"/>
      <c r="C274" s="690">
        <f>$G274/12</f>
        <v>416.66666666666669</v>
      </c>
      <c r="D274" s="690">
        <f t="shared" ref="D274:F274" si="733">$G274/12</f>
        <v>416.66666666666669</v>
      </c>
      <c r="E274" s="690">
        <f t="shared" si="733"/>
        <v>416.66666666666669</v>
      </c>
      <c r="F274" s="690">
        <f t="shared" si="733"/>
        <v>416.66666666666669</v>
      </c>
      <c r="G274" s="899">
        <v>5000</v>
      </c>
      <c r="H274" s="690">
        <f t="shared" ref="H274:M274" si="734">$T274/12</f>
        <v>416.66666666666669</v>
      </c>
      <c r="I274" s="690">
        <f t="shared" si="734"/>
        <v>416.66666666666669</v>
      </c>
      <c r="J274" s="690">
        <f t="shared" si="734"/>
        <v>416.66666666666669</v>
      </c>
      <c r="K274" s="690">
        <f t="shared" si="734"/>
        <v>416.66666666666669</v>
      </c>
      <c r="L274" s="690">
        <f t="shared" si="734"/>
        <v>416.66666666666669</v>
      </c>
      <c r="M274" s="690">
        <f t="shared" si="734"/>
        <v>416.66666666666669</v>
      </c>
      <c r="N274" s="690">
        <f t="shared" ref="N274:S274" si="735">$T274/12</f>
        <v>416.66666666666669</v>
      </c>
      <c r="O274" s="690">
        <f t="shared" si="735"/>
        <v>416.66666666666669</v>
      </c>
      <c r="P274" s="690">
        <f t="shared" si="735"/>
        <v>416.66666666666669</v>
      </c>
      <c r="Q274" s="690">
        <f t="shared" si="735"/>
        <v>416.66666666666669</v>
      </c>
      <c r="R274" s="690">
        <f t="shared" si="735"/>
        <v>416.66666666666669</v>
      </c>
      <c r="S274" s="690">
        <f t="shared" si="735"/>
        <v>416.66666666666669</v>
      </c>
      <c r="T274" s="899">
        <v>5000</v>
      </c>
      <c r="U274" s="690">
        <f>$AG274/12</f>
        <v>500</v>
      </c>
      <c r="V274" s="690">
        <f t="shared" ref="V274:AF274" si="736">$AG274/12</f>
        <v>500</v>
      </c>
      <c r="W274" s="690">
        <f t="shared" si="736"/>
        <v>500</v>
      </c>
      <c r="X274" s="690">
        <f t="shared" si="736"/>
        <v>500</v>
      </c>
      <c r="Y274" s="690">
        <f t="shared" si="736"/>
        <v>500</v>
      </c>
      <c r="Z274" s="690">
        <f t="shared" si="736"/>
        <v>500</v>
      </c>
      <c r="AA274" s="690">
        <f t="shared" si="736"/>
        <v>500</v>
      </c>
      <c r="AB274" s="690">
        <f t="shared" si="736"/>
        <v>500</v>
      </c>
      <c r="AC274" s="690">
        <f t="shared" si="736"/>
        <v>500</v>
      </c>
      <c r="AD274" s="690">
        <f t="shared" si="736"/>
        <v>500</v>
      </c>
      <c r="AE274" s="690">
        <f t="shared" si="736"/>
        <v>500</v>
      </c>
      <c r="AF274" s="690">
        <f t="shared" si="736"/>
        <v>500</v>
      </c>
      <c r="AG274" s="902">
        <f>T274*(1+AG275)</f>
        <v>6000</v>
      </c>
      <c r="AH274" s="902">
        <f t="shared" ref="AH274:AO274" si="737">AG274*(1+AH275)</f>
        <v>6899.9999999999991</v>
      </c>
      <c r="AI274" s="902">
        <f t="shared" si="737"/>
        <v>7590</v>
      </c>
      <c r="AJ274" s="902">
        <f t="shared" si="737"/>
        <v>8349</v>
      </c>
      <c r="AK274" s="902">
        <f t="shared" si="737"/>
        <v>8975.1749999999993</v>
      </c>
      <c r="AL274" s="902">
        <f t="shared" si="737"/>
        <v>9423.9337500000001</v>
      </c>
      <c r="AM274" s="902">
        <f t="shared" si="737"/>
        <v>9800.8911000000007</v>
      </c>
      <c r="AN274" s="902">
        <f t="shared" si="737"/>
        <v>10192.926744</v>
      </c>
      <c r="AO274" s="996">
        <f t="shared" si="737"/>
        <v>10600.64381376</v>
      </c>
    </row>
    <row r="275" spans="1:42" s="987" customFormat="1" ht="13.15" customHeight="1" x14ac:dyDescent="0.2">
      <c r="A275" s="680" t="s">
        <v>324</v>
      </c>
      <c r="B275" s="680"/>
      <c r="C275" s="687"/>
      <c r="D275" s="687"/>
      <c r="E275" s="687"/>
      <c r="F275" s="687"/>
      <c r="G275" s="900"/>
      <c r="H275" s="687"/>
      <c r="I275" s="687"/>
      <c r="J275" s="687"/>
      <c r="K275" s="687"/>
      <c r="L275" s="687"/>
      <c r="M275" s="687"/>
      <c r="N275" s="687"/>
      <c r="O275" s="687"/>
      <c r="P275" s="687"/>
      <c r="Q275" s="687"/>
      <c r="R275" s="687"/>
      <c r="S275" s="687"/>
      <c r="T275" s="916"/>
      <c r="U275" s="687"/>
      <c r="V275" s="687"/>
      <c r="W275" s="687"/>
      <c r="X275" s="687"/>
      <c r="Y275" s="687"/>
      <c r="Z275" s="687"/>
      <c r="AA275" s="687"/>
      <c r="AB275" s="687"/>
      <c r="AC275" s="687"/>
      <c r="AD275" s="687"/>
      <c r="AE275" s="687"/>
      <c r="AF275" s="687"/>
      <c r="AG275" s="921">
        <v>0.2</v>
      </c>
      <c r="AH275" s="921">
        <v>0.15</v>
      </c>
      <c r="AI275" s="921">
        <v>0.1</v>
      </c>
      <c r="AJ275" s="921">
        <v>0.1</v>
      </c>
      <c r="AK275" s="921">
        <v>7.4999999999999997E-2</v>
      </c>
      <c r="AL275" s="921">
        <v>0.05</v>
      </c>
      <c r="AM275" s="921">
        <f>AL275-1%</f>
        <v>0.04</v>
      </c>
      <c r="AN275" s="925">
        <f>AM275</f>
        <v>0.04</v>
      </c>
      <c r="AO275" s="997">
        <f>AN275</f>
        <v>0.04</v>
      </c>
    </row>
    <row r="276" spans="1:42" s="987" customFormat="1" ht="13.15" customHeight="1" x14ac:dyDescent="0.2">
      <c r="A276" s="680" t="s">
        <v>248</v>
      </c>
      <c r="B276" s="680"/>
      <c r="C276" s="687">
        <f t="shared" ref="C276:F276" si="738">C249</f>
        <v>0</v>
      </c>
      <c r="D276" s="687">
        <f t="shared" si="738"/>
        <v>0</v>
      </c>
      <c r="E276" s="687">
        <f t="shared" si="738"/>
        <v>0</v>
      </c>
      <c r="F276" s="687">
        <f t="shared" si="738"/>
        <v>0</v>
      </c>
      <c r="G276" s="900">
        <f>F276</f>
        <v>0</v>
      </c>
      <c r="H276" s="687">
        <f t="shared" ref="H276:M276" si="739">H249</f>
        <v>0</v>
      </c>
      <c r="I276" s="687">
        <f t="shared" si="739"/>
        <v>0</v>
      </c>
      <c r="J276" s="687">
        <f t="shared" si="739"/>
        <v>0</v>
      </c>
      <c r="K276" s="687">
        <f t="shared" si="739"/>
        <v>0</v>
      </c>
      <c r="L276" s="687">
        <f t="shared" si="739"/>
        <v>0</v>
      </c>
      <c r="M276" s="687">
        <f t="shared" si="739"/>
        <v>0</v>
      </c>
      <c r="N276" s="687">
        <f t="shared" ref="N276:S276" si="740">N249</f>
        <v>0</v>
      </c>
      <c r="O276" s="687">
        <f t="shared" si="740"/>
        <v>0</v>
      </c>
      <c r="P276" s="687">
        <f t="shared" si="740"/>
        <v>0</v>
      </c>
      <c r="Q276" s="687">
        <f t="shared" si="740"/>
        <v>0</v>
      </c>
      <c r="R276" s="687">
        <f t="shared" si="740"/>
        <v>0</v>
      </c>
      <c r="S276" s="687">
        <f t="shared" si="740"/>
        <v>0</v>
      </c>
      <c r="T276" s="916">
        <f>S276</f>
        <v>0</v>
      </c>
      <c r="U276" s="687">
        <v>0</v>
      </c>
      <c r="V276" s="687">
        <f t="shared" ref="V276:AG276" si="741">U276</f>
        <v>0</v>
      </c>
      <c r="W276" s="687">
        <f t="shared" si="741"/>
        <v>0</v>
      </c>
      <c r="X276" s="687">
        <f t="shared" si="741"/>
        <v>0</v>
      </c>
      <c r="Y276" s="687">
        <f t="shared" si="741"/>
        <v>0</v>
      </c>
      <c r="Z276" s="687">
        <f t="shared" si="741"/>
        <v>0</v>
      </c>
      <c r="AA276" s="687">
        <f t="shared" si="741"/>
        <v>0</v>
      </c>
      <c r="AB276" s="687">
        <f t="shared" si="741"/>
        <v>0</v>
      </c>
      <c r="AC276" s="687">
        <f t="shared" si="741"/>
        <v>0</v>
      </c>
      <c r="AD276" s="687">
        <f t="shared" si="741"/>
        <v>0</v>
      </c>
      <c r="AE276" s="687">
        <f t="shared" si="741"/>
        <v>0</v>
      </c>
      <c r="AF276" s="687">
        <f t="shared" si="741"/>
        <v>0</v>
      </c>
      <c r="AG276" s="916">
        <f t="shared" si="741"/>
        <v>0</v>
      </c>
      <c r="AH276" s="921">
        <f>AH249</f>
        <v>0</v>
      </c>
      <c r="AI276" s="921">
        <f t="shared" ref="AI276:AO276" si="742">AI249</f>
        <v>1.0000000000000002E-2</v>
      </c>
      <c r="AJ276" s="921">
        <f t="shared" si="742"/>
        <v>2.5000000000000001E-2</v>
      </c>
      <c r="AK276" s="921">
        <f t="shared" si="742"/>
        <v>0.05</v>
      </c>
      <c r="AL276" s="921">
        <f t="shared" si="742"/>
        <v>0.1</v>
      </c>
      <c r="AM276" s="921">
        <f t="shared" si="742"/>
        <v>0.12</v>
      </c>
      <c r="AN276" s="921">
        <f t="shared" si="742"/>
        <v>0.13999999999999999</v>
      </c>
      <c r="AO276" s="1004">
        <f t="shared" si="742"/>
        <v>0.15999999999999998</v>
      </c>
    </row>
    <row r="277" spans="1:42" s="18" customFormat="1" ht="13.15" customHeight="1" x14ac:dyDescent="0.2">
      <c r="A277" s="680" t="s">
        <v>251</v>
      </c>
      <c r="B277" s="680"/>
      <c r="C277" s="690">
        <f t="shared" ref="C277:F277" si="743">C274*C276</f>
        <v>0</v>
      </c>
      <c r="D277" s="690">
        <f t="shared" si="743"/>
        <v>0</v>
      </c>
      <c r="E277" s="690">
        <f t="shared" si="743"/>
        <v>0</v>
      </c>
      <c r="F277" s="690">
        <f t="shared" si="743"/>
        <v>0</v>
      </c>
      <c r="G277" s="902">
        <f>SUM(C277:F277)</f>
        <v>0</v>
      </c>
      <c r="H277" s="690">
        <f t="shared" ref="H277:M277" si="744">H274*H276</f>
        <v>0</v>
      </c>
      <c r="I277" s="690">
        <f t="shared" si="744"/>
        <v>0</v>
      </c>
      <c r="J277" s="690">
        <f t="shared" si="744"/>
        <v>0</v>
      </c>
      <c r="K277" s="690">
        <f t="shared" si="744"/>
        <v>0</v>
      </c>
      <c r="L277" s="690">
        <f t="shared" si="744"/>
        <v>0</v>
      </c>
      <c r="M277" s="690">
        <f t="shared" si="744"/>
        <v>0</v>
      </c>
      <c r="N277" s="690">
        <f t="shared" ref="N277:S277" si="745">N274*N276</f>
        <v>0</v>
      </c>
      <c r="O277" s="690">
        <f t="shared" si="745"/>
        <v>0</v>
      </c>
      <c r="P277" s="690">
        <f t="shared" si="745"/>
        <v>0</v>
      </c>
      <c r="Q277" s="690">
        <f t="shared" si="745"/>
        <v>0</v>
      </c>
      <c r="R277" s="690">
        <f t="shared" si="745"/>
        <v>0</v>
      </c>
      <c r="S277" s="690">
        <f t="shared" si="745"/>
        <v>0</v>
      </c>
      <c r="T277" s="917">
        <f>SUM(H277:S277)</f>
        <v>0</v>
      </c>
      <c r="U277" s="690">
        <f t="shared" ref="U277:AF277" si="746">U274*U276</f>
        <v>0</v>
      </c>
      <c r="V277" s="690">
        <f t="shared" si="746"/>
        <v>0</v>
      </c>
      <c r="W277" s="690">
        <f t="shared" si="746"/>
        <v>0</v>
      </c>
      <c r="X277" s="690">
        <f t="shared" si="746"/>
        <v>0</v>
      </c>
      <c r="Y277" s="690">
        <f t="shared" si="746"/>
        <v>0</v>
      </c>
      <c r="Z277" s="690">
        <f t="shared" si="746"/>
        <v>0</v>
      </c>
      <c r="AA277" s="690">
        <f t="shared" si="746"/>
        <v>0</v>
      </c>
      <c r="AB277" s="690">
        <f t="shared" si="746"/>
        <v>0</v>
      </c>
      <c r="AC277" s="690">
        <f t="shared" si="746"/>
        <v>0</v>
      </c>
      <c r="AD277" s="690">
        <f t="shared" si="746"/>
        <v>0</v>
      </c>
      <c r="AE277" s="690">
        <f t="shared" si="746"/>
        <v>0</v>
      </c>
      <c r="AF277" s="690">
        <f t="shared" si="746"/>
        <v>0</v>
      </c>
      <c r="AG277" s="902">
        <f>SUM(U277:AF277)</f>
        <v>0</v>
      </c>
      <c r="AH277" s="902">
        <f>AH274*AVERAGE(AF276,AH276)</f>
        <v>0</v>
      </c>
      <c r="AI277" s="902">
        <f t="shared" ref="AI277:AO277" si="747">AI274*AVERAGE(AH276,AI276)</f>
        <v>37.95000000000001</v>
      </c>
      <c r="AJ277" s="902">
        <f t="shared" si="747"/>
        <v>146.10750000000002</v>
      </c>
      <c r="AK277" s="902">
        <f t="shared" si="747"/>
        <v>336.56906250000003</v>
      </c>
      <c r="AL277" s="902">
        <f t="shared" si="747"/>
        <v>706.79503125000008</v>
      </c>
      <c r="AM277" s="902">
        <f t="shared" si="747"/>
        <v>1078.098021</v>
      </c>
      <c r="AN277" s="902">
        <f t="shared" si="747"/>
        <v>1325.08047672</v>
      </c>
      <c r="AO277" s="996">
        <f t="shared" si="747"/>
        <v>1590.0965720639997</v>
      </c>
    </row>
    <row r="278" spans="1:42" s="18" customFormat="1" ht="13.15" customHeight="1" x14ac:dyDescent="0.2">
      <c r="A278" s="680" t="s">
        <v>249</v>
      </c>
      <c r="B278" s="680"/>
      <c r="C278" s="686">
        <v>5</v>
      </c>
      <c r="D278" s="686">
        <f>C278</f>
        <v>5</v>
      </c>
      <c r="E278" s="686">
        <f t="shared" ref="E278:F278" si="748">D278</f>
        <v>5</v>
      </c>
      <c r="F278" s="686">
        <f t="shared" si="748"/>
        <v>5</v>
      </c>
      <c r="G278" s="903">
        <f>F278</f>
        <v>5</v>
      </c>
      <c r="H278" s="686">
        <f>F278</f>
        <v>5</v>
      </c>
      <c r="I278" s="686">
        <f>H278</f>
        <v>5</v>
      </c>
      <c r="J278" s="686">
        <f t="shared" ref="J278:S278" si="749">I278</f>
        <v>5</v>
      </c>
      <c r="K278" s="686">
        <f t="shared" si="749"/>
        <v>5</v>
      </c>
      <c r="L278" s="686">
        <f t="shared" si="749"/>
        <v>5</v>
      </c>
      <c r="M278" s="686">
        <f t="shared" si="749"/>
        <v>5</v>
      </c>
      <c r="N278" s="686">
        <f t="shared" si="749"/>
        <v>5</v>
      </c>
      <c r="O278" s="686">
        <f t="shared" si="749"/>
        <v>5</v>
      </c>
      <c r="P278" s="686">
        <f t="shared" si="749"/>
        <v>5</v>
      </c>
      <c r="Q278" s="686">
        <f t="shared" si="749"/>
        <v>5</v>
      </c>
      <c r="R278" s="686">
        <f t="shared" si="749"/>
        <v>5</v>
      </c>
      <c r="S278" s="686">
        <f t="shared" si="749"/>
        <v>5</v>
      </c>
      <c r="T278" s="903">
        <f t="shared" ref="T278" si="750">S278</f>
        <v>5</v>
      </c>
      <c r="U278" s="686">
        <f>S278</f>
        <v>5</v>
      </c>
      <c r="V278" s="686">
        <f t="shared" ref="V278:AG278" si="751">U278</f>
        <v>5</v>
      </c>
      <c r="W278" s="686">
        <f t="shared" si="751"/>
        <v>5</v>
      </c>
      <c r="X278" s="686">
        <f t="shared" si="751"/>
        <v>5</v>
      </c>
      <c r="Y278" s="686">
        <f t="shared" si="751"/>
        <v>5</v>
      </c>
      <c r="Z278" s="686">
        <f t="shared" si="751"/>
        <v>5</v>
      </c>
      <c r="AA278" s="686">
        <f t="shared" si="751"/>
        <v>5</v>
      </c>
      <c r="AB278" s="686">
        <f t="shared" si="751"/>
        <v>5</v>
      </c>
      <c r="AC278" s="686">
        <f t="shared" si="751"/>
        <v>5</v>
      </c>
      <c r="AD278" s="686">
        <f t="shared" si="751"/>
        <v>5</v>
      </c>
      <c r="AE278" s="686">
        <f t="shared" si="751"/>
        <v>5</v>
      </c>
      <c r="AF278" s="686">
        <f t="shared" si="751"/>
        <v>5</v>
      </c>
      <c r="AG278" s="919">
        <f t="shared" si="751"/>
        <v>5</v>
      </c>
      <c r="AH278" s="919">
        <f>AF278</f>
        <v>5</v>
      </c>
      <c r="AI278" s="919">
        <f t="shared" ref="AI278:AO278" si="752">AH278</f>
        <v>5</v>
      </c>
      <c r="AJ278" s="919">
        <f t="shared" si="752"/>
        <v>5</v>
      </c>
      <c r="AK278" s="919">
        <f t="shared" si="752"/>
        <v>5</v>
      </c>
      <c r="AL278" s="919">
        <f t="shared" si="752"/>
        <v>5</v>
      </c>
      <c r="AM278" s="919">
        <f t="shared" si="752"/>
        <v>5</v>
      </c>
      <c r="AN278" s="919">
        <f t="shared" si="752"/>
        <v>5</v>
      </c>
      <c r="AO278" s="998">
        <f t="shared" si="752"/>
        <v>5</v>
      </c>
    </row>
    <row r="279" spans="1:42" s="18" customFormat="1" ht="13.15" customHeight="1" x14ac:dyDescent="0.2">
      <c r="A279" s="680" t="s">
        <v>255</v>
      </c>
      <c r="B279" s="680"/>
      <c r="C279" s="690">
        <f t="shared" ref="C279:F279" si="753">C277*C278</f>
        <v>0</v>
      </c>
      <c r="D279" s="690">
        <f t="shared" si="753"/>
        <v>0</v>
      </c>
      <c r="E279" s="690">
        <f t="shared" si="753"/>
        <v>0</v>
      </c>
      <c r="F279" s="690">
        <f t="shared" si="753"/>
        <v>0</v>
      </c>
      <c r="G279" s="902">
        <f>SUM(C279:F279)</f>
        <v>0</v>
      </c>
      <c r="H279" s="690">
        <f t="shared" ref="H279:M279" si="754">H277*H278</f>
        <v>0</v>
      </c>
      <c r="I279" s="690">
        <f t="shared" si="754"/>
        <v>0</v>
      </c>
      <c r="J279" s="690">
        <f t="shared" si="754"/>
        <v>0</v>
      </c>
      <c r="K279" s="690">
        <f t="shared" si="754"/>
        <v>0</v>
      </c>
      <c r="L279" s="690">
        <f t="shared" si="754"/>
        <v>0</v>
      </c>
      <c r="M279" s="690">
        <f t="shared" si="754"/>
        <v>0</v>
      </c>
      <c r="N279" s="690">
        <f t="shared" ref="N279:S279" si="755">N277*N278</f>
        <v>0</v>
      </c>
      <c r="O279" s="690">
        <f t="shared" si="755"/>
        <v>0</v>
      </c>
      <c r="P279" s="690">
        <f t="shared" si="755"/>
        <v>0</v>
      </c>
      <c r="Q279" s="690">
        <f t="shared" si="755"/>
        <v>0</v>
      </c>
      <c r="R279" s="690">
        <f t="shared" si="755"/>
        <v>0</v>
      </c>
      <c r="S279" s="690">
        <f t="shared" si="755"/>
        <v>0</v>
      </c>
      <c r="T279" s="918">
        <f>SUM(H279:S279)</f>
        <v>0</v>
      </c>
      <c r="U279" s="690">
        <f t="shared" ref="U279:AF279" si="756">U277*U278</f>
        <v>0</v>
      </c>
      <c r="V279" s="690">
        <f t="shared" si="756"/>
        <v>0</v>
      </c>
      <c r="W279" s="690">
        <f t="shared" si="756"/>
        <v>0</v>
      </c>
      <c r="X279" s="690">
        <f t="shared" si="756"/>
        <v>0</v>
      </c>
      <c r="Y279" s="690">
        <f t="shared" si="756"/>
        <v>0</v>
      </c>
      <c r="Z279" s="690">
        <f t="shared" si="756"/>
        <v>0</v>
      </c>
      <c r="AA279" s="690">
        <f t="shared" si="756"/>
        <v>0</v>
      </c>
      <c r="AB279" s="690">
        <f t="shared" si="756"/>
        <v>0</v>
      </c>
      <c r="AC279" s="690">
        <f t="shared" si="756"/>
        <v>0</v>
      </c>
      <c r="AD279" s="690">
        <f t="shared" si="756"/>
        <v>0</v>
      </c>
      <c r="AE279" s="690">
        <f t="shared" si="756"/>
        <v>0</v>
      </c>
      <c r="AF279" s="690">
        <f t="shared" si="756"/>
        <v>0</v>
      </c>
      <c r="AG279" s="918">
        <f>SUM(U279:AF279)</f>
        <v>0</v>
      </c>
      <c r="AH279" s="902">
        <f t="shared" ref="AH279:AO279" si="757">AH277*AH278</f>
        <v>0</v>
      </c>
      <c r="AI279" s="902">
        <f t="shared" si="757"/>
        <v>189.75000000000006</v>
      </c>
      <c r="AJ279" s="902">
        <f t="shared" si="757"/>
        <v>730.53750000000014</v>
      </c>
      <c r="AK279" s="902">
        <f t="shared" si="757"/>
        <v>1682.8453125000001</v>
      </c>
      <c r="AL279" s="902">
        <f t="shared" si="757"/>
        <v>3533.9751562500005</v>
      </c>
      <c r="AM279" s="902">
        <f t="shared" si="757"/>
        <v>5390.4901049999999</v>
      </c>
      <c r="AN279" s="902">
        <f t="shared" si="757"/>
        <v>6625.4023835999997</v>
      </c>
      <c r="AO279" s="996">
        <f t="shared" si="757"/>
        <v>7950.4828603199985</v>
      </c>
    </row>
    <row r="280" spans="1:42" s="34" customFormat="1" ht="12.4" customHeight="1" x14ac:dyDescent="0.2">
      <c r="A280" s="1"/>
      <c r="B280" s="1"/>
      <c r="C280" s="1"/>
      <c r="D280" s="1"/>
      <c r="E280" s="1"/>
      <c r="F280" s="1"/>
      <c r="G280" s="26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6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268"/>
      <c r="AH280" s="268"/>
      <c r="AI280" s="268"/>
      <c r="AJ280" s="268"/>
      <c r="AK280" s="268"/>
      <c r="AL280" s="268"/>
      <c r="AM280" s="268"/>
      <c r="AN280" s="268"/>
      <c r="AO280" s="999"/>
      <c r="AP280" s="18"/>
    </row>
    <row r="281" spans="1:42" s="18" customFormat="1" ht="13.15" customHeight="1" x14ac:dyDescent="0.2">
      <c r="A281" s="680" t="s">
        <v>253</v>
      </c>
      <c r="B281" s="680"/>
      <c r="C281" s="689">
        <v>0</v>
      </c>
      <c r="D281" s="689">
        <v>0</v>
      </c>
      <c r="E281" s="689">
        <v>0</v>
      </c>
      <c r="F281" s="689">
        <v>0</v>
      </c>
      <c r="G281" s="902">
        <f>F281</f>
        <v>0</v>
      </c>
      <c r="H281" s="689">
        <v>0</v>
      </c>
      <c r="I281" s="689">
        <v>0</v>
      </c>
      <c r="J281" s="689">
        <v>0</v>
      </c>
      <c r="K281" s="689">
        <v>0</v>
      </c>
      <c r="L281" s="689">
        <v>0</v>
      </c>
      <c r="M281" s="689">
        <v>0</v>
      </c>
      <c r="N281" s="689">
        <v>0</v>
      </c>
      <c r="O281" s="689">
        <v>0</v>
      </c>
      <c r="P281" s="689">
        <v>0</v>
      </c>
      <c r="Q281" s="689">
        <v>0</v>
      </c>
      <c r="R281" s="689">
        <v>0</v>
      </c>
      <c r="S281" s="689">
        <v>0</v>
      </c>
      <c r="T281" s="902">
        <f>S281</f>
        <v>0</v>
      </c>
      <c r="U281" s="689">
        <f>S281</f>
        <v>0</v>
      </c>
      <c r="V281" s="689">
        <f t="shared" ref="V281:AG281" si="758">U281</f>
        <v>0</v>
      </c>
      <c r="W281" s="689">
        <f t="shared" si="758"/>
        <v>0</v>
      </c>
      <c r="X281" s="689">
        <f t="shared" si="758"/>
        <v>0</v>
      </c>
      <c r="Y281" s="689">
        <f t="shared" si="758"/>
        <v>0</v>
      </c>
      <c r="Z281" s="689">
        <f t="shared" si="758"/>
        <v>0</v>
      </c>
      <c r="AA281" s="689">
        <f t="shared" si="758"/>
        <v>0</v>
      </c>
      <c r="AB281" s="689">
        <f t="shared" si="758"/>
        <v>0</v>
      </c>
      <c r="AC281" s="689">
        <f t="shared" si="758"/>
        <v>0</v>
      </c>
      <c r="AD281" s="689">
        <f t="shared" si="758"/>
        <v>0</v>
      </c>
      <c r="AE281" s="689">
        <f t="shared" si="758"/>
        <v>0</v>
      </c>
      <c r="AF281" s="689">
        <f t="shared" si="758"/>
        <v>0</v>
      </c>
      <c r="AG281" s="902">
        <f t="shared" si="758"/>
        <v>0</v>
      </c>
      <c r="AH281" s="899">
        <f>AF281</f>
        <v>0</v>
      </c>
      <c r="AI281" s="899">
        <f t="shared" ref="AI281:AO281" si="759">AH281</f>
        <v>0</v>
      </c>
      <c r="AJ281" s="899">
        <f t="shared" si="759"/>
        <v>0</v>
      </c>
      <c r="AK281" s="899">
        <f t="shared" si="759"/>
        <v>0</v>
      </c>
      <c r="AL281" s="899">
        <f t="shared" si="759"/>
        <v>0</v>
      </c>
      <c r="AM281" s="899">
        <f t="shared" si="759"/>
        <v>0</v>
      </c>
      <c r="AN281" s="899">
        <f t="shared" si="759"/>
        <v>0</v>
      </c>
      <c r="AO281" s="1000">
        <f t="shared" si="759"/>
        <v>0</v>
      </c>
    </row>
    <row r="282" spans="1:42" s="18" customFormat="1" ht="13.15" customHeight="1" x14ac:dyDescent="0.2">
      <c r="A282" s="680" t="s">
        <v>252</v>
      </c>
      <c r="B282" s="680"/>
      <c r="C282" s="689">
        <v>0</v>
      </c>
      <c r="D282" s="689">
        <v>0</v>
      </c>
      <c r="E282" s="689">
        <v>0</v>
      </c>
      <c r="F282" s="689">
        <v>0</v>
      </c>
      <c r="G282" s="902">
        <f>SUM(C282:F282)</f>
        <v>0</v>
      </c>
      <c r="H282" s="689">
        <v>0</v>
      </c>
      <c r="I282" s="689">
        <v>0</v>
      </c>
      <c r="J282" s="689">
        <v>0</v>
      </c>
      <c r="K282" s="689">
        <v>0</v>
      </c>
      <c r="L282" s="689">
        <v>0</v>
      </c>
      <c r="M282" s="689">
        <v>0</v>
      </c>
      <c r="N282" s="689">
        <f t="shared" ref="N282:S282" si="760">100/12</f>
        <v>8.3333333333333339</v>
      </c>
      <c r="O282" s="689">
        <f t="shared" si="760"/>
        <v>8.3333333333333339</v>
      </c>
      <c r="P282" s="689">
        <f t="shared" si="760"/>
        <v>8.3333333333333339</v>
      </c>
      <c r="Q282" s="689">
        <f t="shared" si="760"/>
        <v>8.3333333333333339</v>
      </c>
      <c r="R282" s="689">
        <f t="shared" si="760"/>
        <v>8.3333333333333339</v>
      </c>
      <c r="S282" s="689">
        <f t="shared" si="760"/>
        <v>8.3333333333333339</v>
      </c>
      <c r="T282" s="917">
        <f>SUM(H282:S282)</f>
        <v>50.000000000000007</v>
      </c>
      <c r="U282" s="689">
        <f t="shared" ref="U282:AF282" si="761">100/12</f>
        <v>8.3333333333333339</v>
      </c>
      <c r="V282" s="689">
        <f t="shared" si="761"/>
        <v>8.3333333333333339</v>
      </c>
      <c r="W282" s="689">
        <f t="shared" si="761"/>
        <v>8.3333333333333339</v>
      </c>
      <c r="X282" s="689">
        <f t="shared" si="761"/>
        <v>8.3333333333333339</v>
      </c>
      <c r="Y282" s="689">
        <f t="shared" si="761"/>
        <v>8.3333333333333339</v>
      </c>
      <c r="Z282" s="689">
        <f t="shared" si="761"/>
        <v>8.3333333333333339</v>
      </c>
      <c r="AA282" s="689">
        <f t="shared" si="761"/>
        <v>8.3333333333333339</v>
      </c>
      <c r="AB282" s="689">
        <f t="shared" si="761"/>
        <v>8.3333333333333339</v>
      </c>
      <c r="AC282" s="689">
        <f t="shared" si="761"/>
        <v>8.3333333333333339</v>
      </c>
      <c r="AD282" s="689">
        <f t="shared" si="761"/>
        <v>8.3333333333333339</v>
      </c>
      <c r="AE282" s="689">
        <f t="shared" si="761"/>
        <v>8.3333333333333339</v>
      </c>
      <c r="AF282" s="689">
        <f t="shared" si="761"/>
        <v>8.3333333333333339</v>
      </c>
      <c r="AG282" s="917">
        <f>SUM(U282:AF282)</f>
        <v>99.999999999999986</v>
      </c>
      <c r="AH282" s="899">
        <v>100</v>
      </c>
      <c r="AI282" s="899">
        <v>100</v>
      </c>
      <c r="AJ282" s="899">
        <v>100</v>
      </c>
      <c r="AK282" s="899">
        <v>100</v>
      </c>
      <c r="AL282" s="899">
        <v>100</v>
      </c>
      <c r="AM282" s="899">
        <v>100</v>
      </c>
      <c r="AN282" s="899">
        <v>100</v>
      </c>
      <c r="AO282" s="1000">
        <v>100</v>
      </c>
    </row>
    <row r="283" spans="1:42" s="18" customFormat="1" ht="13.15" customHeight="1" x14ac:dyDescent="0.2">
      <c r="A283" s="680" t="s">
        <v>254</v>
      </c>
      <c r="B283" s="680"/>
      <c r="C283" s="690">
        <f t="shared" ref="C283:F283" si="762">C281*C282</f>
        <v>0</v>
      </c>
      <c r="D283" s="690">
        <f t="shared" si="762"/>
        <v>0</v>
      </c>
      <c r="E283" s="690">
        <f t="shared" si="762"/>
        <v>0</v>
      </c>
      <c r="F283" s="690">
        <f t="shared" si="762"/>
        <v>0</v>
      </c>
      <c r="G283" s="902">
        <f>SUM(C283:F283)</f>
        <v>0</v>
      </c>
      <c r="H283" s="690">
        <f t="shared" ref="H283:M283" si="763">H281*H282</f>
        <v>0</v>
      </c>
      <c r="I283" s="690">
        <f t="shared" si="763"/>
        <v>0</v>
      </c>
      <c r="J283" s="690">
        <f t="shared" si="763"/>
        <v>0</v>
      </c>
      <c r="K283" s="690">
        <f t="shared" si="763"/>
        <v>0</v>
      </c>
      <c r="L283" s="690">
        <f t="shared" si="763"/>
        <v>0</v>
      </c>
      <c r="M283" s="690">
        <f t="shared" si="763"/>
        <v>0</v>
      </c>
      <c r="N283" s="690">
        <f t="shared" ref="N283:S283" si="764">N281*N282</f>
        <v>0</v>
      </c>
      <c r="O283" s="690">
        <f t="shared" si="764"/>
        <v>0</v>
      </c>
      <c r="P283" s="690">
        <f t="shared" si="764"/>
        <v>0</v>
      </c>
      <c r="Q283" s="690">
        <f t="shared" si="764"/>
        <v>0</v>
      </c>
      <c r="R283" s="690">
        <f t="shared" si="764"/>
        <v>0</v>
      </c>
      <c r="S283" s="690">
        <f t="shared" si="764"/>
        <v>0</v>
      </c>
      <c r="T283" s="917">
        <f>SUM(H283:S283)</f>
        <v>0</v>
      </c>
      <c r="U283" s="690">
        <f t="shared" ref="U283:AF283" si="765">U281*U282</f>
        <v>0</v>
      </c>
      <c r="V283" s="690">
        <f t="shared" si="765"/>
        <v>0</v>
      </c>
      <c r="W283" s="690">
        <f t="shared" si="765"/>
        <v>0</v>
      </c>
      <c r="X283" s="690">
        <f t="shared" si="765"/>
        <v>0</v>
      </c>
      <c r="Y283" s="690">
        <f t="shared" si="765"/>
        <v>0</v>
      </c>
      <c r="Z283" s="690">
        <f t="shared" si="765"/>
        <v>0</v>
      </c>
      <c r="AA283" s="690">
        <f t="shared" si="765"/>
        <v>0</v>
      </c>
      <c r="AB283" s="690">
        <f t="shared" si="765"/>
        <v>0</v>
      </c>
      <c r="AC283" s="690">
        <f t="shared" si="765"/>
        <v>0</v>
      </c>
      <c r="AD283" s="690">
        <f t="shared" si="765"/>
        <v>0</v>
      </c>
      <c r="AE283" s="690">
        <f t="shared" si="765"/>
        <v>0</v>
      </c>
      <c r="AF283" s="690">
        <f t="shared" si="765"/>
        <v>0</v>
      </c>
      <c r="AG283" s="902">
        <f>SUM(U283:AF283)</f>
        <v>0</v>
      </c>
      <c r="AH283" s="902">
        <f t="shared" ref="AH283:AO283" si="766">AH281*AH282</f>
        <v>0</v>
      </c>
      <c r="AI283" s="902">
        <f t="shared" si="766"/>
        <v>0</v>
      </c>
      <c r="AJ283" s="902">
        <f t="shared" si="766"/>
        <v>0</v>
      </c>
      <c r="AK283" s="902">
        <f t="shared" si="766"/>
        <v>0</v>
      </c>
      <c r="AL283" s="902">
        <f t="shared" si="766"/>
        <v>0</v>
      </c>
      <c r="AM283" s="902">
        <f t="shared" si="766"/>
        <v>0</v>
      </c>
      <c r="AN283" s="902">
        <f t="shared" si="766"/>
        <v>0</v>
      </c>
      <c r="AO283" s="996">
        <f t="shared" si="766"/>
        <v>0</v>
      </c>
    </row>
    <row r="284" spans="1:42" s="18" customFormat="1" ht="13.15" customHeight="1" x14ac:dyDescent="0.2">
      <c r="A284" s="680" t="s">
        <v>249</v>
      </c>
      <c r="B284" s="680"/>
      <c r="C284" s="686">
        <f t="shared" ref="C284:F284" si="767">C278</f>
        <v>5</v>
      </c>
      <c r="D284" s="686">
        <f t="shared" si="767"/>
        <v>5</v>
      </c>
      <c r="E284" s="686">
        <f t="shared" si="767"/>
        <v>5</v>
      </c>
      <c r="F284" s="686">
        <f t="shared" si="767"/>
        <v>5</v>
      </c>
      <c r="G284" s="903">
        <f>F284</f>
        <v>5</v>
      </c>
      <c r="H284" s="686">
        <f t="shared" ref="H284:M284" si="768">H278</f>
        <v>5</v>
      </c>
      <c r="I284" s="686">
        <f t="shared" si="768"/>
        <v>5</v>
      </c>
      <c r="J284" s="686">
        <f t="shared" si="768"/>
        <v>5</v>
      </c>
      <c r="K284" s="686">
        <f t="shared" si="768"/>
        <v>5</v>
      </c>
      <c r="L284" s="686">
        <f t="shared" si="768"/>
        <v>5</v>
      </c>
      <c r="M284" s="686">
        <f t="shared" si="768"/>
        <v>5</v>
      </c>
      <c r="N284" s="686">
        <f t="shared" ref="N284:AO284" si="769">N278</f>
        <v>5</v>
      </c>
      <c r="O284" s="686">
        <f t="shared" si="769"/>
        <v>5</v>
      </c>
      <c r="P284" s="686">
        <f t="shared" si="769"/>
        <v>5</v>
      </c>
      <c r="Q284" s="686">
        <f t="shared" si="769"/>
        <v>5</v>
      </c>
      <c r="R284" s="686">
        <f t="shared" si="769"/>
        <v>5</v>
      </c>
      <c r="S284" s="686">
        <f t="shared" si="769"/>
        <v>5</v>
      </c>
      <c r="T284" s="919">
        <f t="shared" si="769"/>
        <v>5</v>
      </c>
      <c r="U284" s="686">
        <f t="shared" si="769"/>
        <v>5</v>
      </c>
      <c r="V284" s="686">
        <f t="shared" si="769"/>
        <v>5</v>
      </c>
      <c r="W284" s="686">
        <f t="shared" si="769"/>
        <v>5</v>
      </c>
      <c r="X284" s="686">
        <f t="shared" si="769"/>
        <v>5</v>
      </c>
      <c r="Y284" s="686">
        <f t="shared" si="769"/>
        <v>5</v>
      </c>
      <c r="Z284" s="686">
        <f t="shared" si="769"/>
        <v>5</v>
      </c>
      <c r="AA284" s="686">
        <f t="shared" si="769"/>
        <v>5</v>
      </c>
      <c r="AB284" s="686">
        <f t="shared" si="769"/>
        <v>5</v>
      </c>
      <c r="AC284" s="686">
        <f t="shared" si="769"/>
        <v>5</v>
      </c>
      <c r="AD284" s="686">
        <f t="shared" si="769"/>
        <v>5</v>
      </c>
      <c r="AE284" s="686">
        <f t="shared" si="769"/>
        <v>5</v>
      </c>
      <c r="AF284" s="686">
        <f t="shared" si="769"/>
        <v>5</v>
      </c>
      <c r="AG284" s="919">
        <f t="shared" si="769"/>
        <v>5</v>
      </c>
      <c r="AH284" s="919">
        <f t="shared" si="769"/>
        <v>5</v>
      </c>
      <c r="AI284" s="919">
        <f t="shared" si="769"/>
        <v>5</v>
      </c>
      <c r="AJ284" s="919">
        <f t="shared" si="769"/>
        <v>5</v>
      </c>
      <c r="AK284" s="919">
        <f t="shared" si="769"/>
        <v>5</v>
      </c>
      <c r="AL284" s="919">
        <f t="shared" si="769"/>
        <v>5</v>
      </c>
      <c r="AM284" s="919">
        <f t="shared" si="769"/>
        <v>5</v>
      </c>
      <c r="AN284" s="919">
        <f t="shared" si="769"/>
        <v>5</v>
      </c>
      <c r="AO284" s="998">
        <f t="shared" si="769"/>
        <v>5</v>
      </c>
    </row>
    <row r="285" spans="1:42" s="18" customFormat="1" ht="13.15" customHeight="1" x14ac:dyDescent="0.2">
      <c r="A285" s="680" t="s">
        <v>255</v>
      </c>
      <c r="B285" s="680"/>
      <c r="C285" s="690">
        <f t="shared" ref="C285:F285" si="770">C283*C284</f>
        <v>0</v>
      </c>
      <c r="D285" s="690">
        <f t="shared" si="770"/>
        <v>0</v>
      </c>
      <c r="E285" s="690">
        <f t="shared" si="770"/>
        <v>0</v>
      </c>
      <c r="F285" s="690">
        <f t="shared" si="770"/>
        <v>0</v>
      </c>
      <c r="G285" s="902">
        <f>SUM(C285:F285)</f>
        <v>0</v>
      </c>
      <c r="H285" s="690">
        <f t="shared" ref="H285:M285" si="771">H283*H284</f>
        <v>0</v>
      </c>
      <c r="I285" s="690">
        <f t="shared" si="771"/>
        <v>0</v>
      </c>
      <c r="J285" s="690">
        <f t="shared" si="771"/>
        <v>0</v>
      </c>
      <c r="K285" s="690">
        <f t="shared" si="771"/>
        <v>0</v>
      </c>
      <c r="L285" s="690">
        <f t="shared" si="771"/>
        <v>0</v>
      </c>
      <c r="M285" s="690">
        <f t="shared" si="771"/>
        <v>0</v>
      </c>
      <c r="N285" s="690">
        <f t="shared" ref="N285:S285" si="772">N283*N284</f>
        <v>0</v>
      </c>
      <c r="O285" s="690">
        <f t="shared" si="772"/>
        <v>0</v>
      </c>
      <c r="P285" s="690">
        <f t="shared" si="772"/>
        <v>0</v>
      </c>
      <c r="Q285" s="690">
        <f t="shared" si="772"/>
        <v>0</v>
      </c>
      <c r="R285" s="690">
        <f t="shared" si="772"/>
        <v>0</v>
      </c>
      <c r="S285" s="690">
        <f t="shared" si="772"/>
        <v>0</v>
      </c>
      <c r="T285" s="918">
        <f>SUM(H285:S285)</f>
        <v>0</v>
      </c>
      <c r="U285" s="690">
        <f t="shared" ref="U285:AF285" si="773">U283*U284</f>
        <v>0</v>
      </c>
      <c r="V285" s="690">
        <f t="shared" si="773"/>
        <v>0</v>
      </c>
      <c r="W285" s="690">
        <f t="shared" si="773"/>
        <v>0</v>
      </c>
      <c r="X285" s="690">
        <f t="shared" si="773"/>
        <v>0</v>
      </c>
      <c r="Y285" s="690">
        <f t="shared" si="773"/>
        <v>0</v>
      </c>
      <c r="Z285" s="690">
        <f t="shared" si="773"/>
        <v>0</v>
      </c>
      <c r="AA285" s="690">
        <f t="shared" si="773"/>
        <v>0</v>
      </c>
      <c r="AB285" s="690">
        <f t="shared" si="773"/>
        <v>0</v>
      </c>
      <c r="AC285" s="690">
        <f t="shared" si="773"/>
        <v>0</v>
      </c>
      <c r="AD285" s="690">
        <f t="shared" si="773"/>
        <v>0</v>
      </c>
      <c r="AE285" s="690">
        <f t="shared" si="773"/>
        <v>0</v>
      </c>
      <c r="AF285" s="690">
        <f t="shared" si="773"/>
        <v>0</v>
      </c>
      <c r="AG285" s="918">
        <f>SUM(U285:AF285)</f>
        <v>0</v>
      </c>
      <c r="AH285" s="902">
        <f t="shared" ref="AH285:AO285" si="774">AH283*AH284</f>
        <v>0</v>
      </c>
      <c r="AI285" s="902">
        <f t="shared" si="774"/>
        <v>0</v>
      </c>
      <c r="AJ285" s="902">
        <f t="shared" si="774"/>
        <v>0</v>
      </c>
      <c r="AK285" s="902">
        <f t="shared" si="774"/>
        <v>0</v>
      </c>
      <c r="AL285" s="902">
        <f t="shared" si="774"/>
        <v>0</v>
      </c>
      <c r="AM285" s="902">
        <f t="shared" si="774"/>
        <v>0</v>
      </c>
      <c r="AN285" s="902">
        <f t="shared" si="774"/>
        <v>0</v>
      </c>
      <c r="AO285" s="996">
        <f t="shared" si="774"/>
        <v>0</v>
      </c>
    </row>
    <row r="286" spans="1:42" s="18" customFormat="1" ht="13.15" customHeight="1" x14ac:dyDescent="0.2">
      <c r="A286" s="674"/>
      <c r="B286" s="674"/>
      <c r="C286" s="682"/>
      <c r="D286" s="682"/>
      <c r="E286" s="682"/>
      <c r="F286" s="682"/>
      <c r="G286" s="900"/>
      <c r="H286" s="682"/>
      <c r="I286" s="682"/>
      <c r="J286" s="682"/>
      <c r="K286" s="682"/>
      <c r="L286" s="682"/>
      <c r="M286" s="682"/>
      <c r="N286" s="682"/>
      <c r="O286" s="682"/>
      <c r="P286" s="682"/>
      <c r="Q286" s="682"/>
      <c r="R286" s="682"/>
      <c r="S286" s="682"/>
      <c r="T286" s="917"/>
      <c r="U286" s="682"/>
      <c r="V286" s="682"/>
      <c r="W286" s="682"/>
      <c r="X286" s="682"/>
      <c r="Y286" s="682"/>
      <c r="Z286" s="682"/>
      <c r="AA286" s="682"/>
      <c r="AB286" s="682"/>
      <c r="AC286" s="682"/>
      <c r="AD286" s="682"/>
      <c r="AE286" s="682"/>
      <c r="AF286" s="682"/>
      <c r="AG286" s="917"/>
      <c r="AH286" s="917"/>
      <c r="AI286" s="917"/>
      <c r="AJ286" s="917"/>
      <c r="AK286" s="924"/>
      <c r="AL286" s="924"/>
      <c r="AM286" s="924"/>
      <c r="AN286" s="924"/>
      <c r="AO286" s="995"/>
    </row>
    <row r="287" spans="1:42" s="18" customFormat="1" ht="13.15" customHeight="1" x14ac:dyDescent="0.2">
      <c r="A287" s="680" t="s">
        <v>256</v>
      </c>
      <c r="B287" s="680"/>
      <c r="C287" s="689">
        <v>0</v>
      </c>
      <c r="D287" s="689">
        <v>0</v>
      </c>
      <c r="E287" s="689">
        <v>0</v>
      </c>
      <c r="F287" s="689">
        <v>0</v>
      </c>
      <c r="G287" s="902">
        <f>F287</f>
        <v>0</v>
      </c>
      <c r="H287" s="689">
        <v>0</v>
      </c>
      <c r="I287" s="689">
        <v>0</v>
      </c>
      <c r="J287" s="689">
        <v>0</v>
      </c>
      <c r="K287" s="689">
        <v>0</v>
      </c>
      <c r="L287" s="689">
        <v>0</v>
      </c>
      <c r="M287" s="689">
        <v>0</v>
      </c>
      <c r="N287" s="689">
        <v>0</v>
      </c>
      <c r="O287" s="689">
        <v>0</v>
      </c>
      <c r="P287" s="689">
        <v>0</v>
      </c>
      <c r="Q287" s="689">
        <v>0</v>
      </c>
      <c r="R287" s="689">
        <v>0</v>
      </c>
      <c r="S287" s="689">
        <v>0</v>
      </c>
      <c r="T287" s="902">
        <f>S287</f>
        <v>0</v>
      </c>
      <c r="U287" s="689">
        <f>S287</f>
        <v>0</v>
      </c>
      <c r="V287" s="689">
        <f t="shared" ref="V287:AG287" si="775">U287</f>
        <v>0</v>
      </c>
      <c r="W287" s="689">
        <f t="shared" si="775"/>
        <v>0</v>
      </c>
      <c r="X287" s="689">
        <f t="shared" si="775"/>
        <v>0</v>
      </c>
      <c r="Y287" s="689">
        <f t="shared" si="775"/>
        <v>0</v>
      </c>
      <c r="Z287" s="689">
        <f t="shared" si="775"/>
        <v>0</v>
      </c>
      <c r="AA287" s="689">
        <f t="shared" si="775"/>
        <v>0</v>
      </c>
      <c r="AB287" s="689">
        <f t="shared" si="775"/>
        <v>0</v>
      </c>
      <c r="AC287" s="689">
        <f t="shared" si="775"/>
        <v>0</v>
      </c>
      <c r="AD287" s="689">
        <f t="shared" si="775"/>
        <v>0</v>
      </c>
      <c r="AE287" s="689">
        <f t="shared" si="775"/>
        <v>0</v>
      </c>
      <c r="AF287" s="689">
        <f t="shared" si="775"/>
        <v>0</v>
      </c>
      <c r="AG287" s="902">
        <f t="shared" si="775"/>
        <v>0</v>
      </c>
      <c r="AH287" s="899">
        <f>AF287</f>
        <v>0</v>
      </c>
      <c r="AI287" s="899">
        <f t="shared" ref="AI287:AO287" si="776">AH287</f>
        <v>0</v>
      </c>
      <c r="AJ287" s="899">
        <f t="shared" si="776"/>
        <v>0</v>
      </c>
      <c r="AK287" s="899">
        <f t="shared" si="776"/>
        <v>0</v>
      </c>
      <c r="AL287" s="899">
        <f t="shared" si="776"/>
        <v>0</v>
      </c>
      <c r="AM287" s="899">
        <f t="shared" si="776"/>
        <v>0</v>
      </c>
      <c r="AN287" s="899">
        <f t="shared" si="776"/>
        <v>0</v>
      </c>
      <c r="AO287" s="1000">
        <f t="shared" si="776"/>
        <v>0</v>
      </c>
    </row>
    <row r="288" spans="1:42" s="18" customFormat="1" ht="13.15" customHeight="1" x14ac:dyDescent="0.2">
      <c r="A288" s="680" t="s">
        <v>252</v>
      </c>
      <c r="B288" s="680"/>
      <c r="C288" s="689">
        <v>0</v>
      </c>
      <c r="D288" s="689">
        <v>0</v>
      </c>
      <c r="E288" s="689">
        <v>0</v>
      </c>
      <c r="F288" s="689">
        <v>0</v>
      </c>
      <c r="G288" s="902">
        <f>SUM(C288:F288)</f>
        <v>0</v>
      </c>
      <c r="H288" s="689">
        <v>0</v>
      </c>
      <c r="I288" s="689">
        <v>0</v>
      </c>
      <c r="J288" s="689">
        <v>0</v>
      </c>
      <c r="K288" s="689">
        <v>0</v>
      </c>
      <c r="L288" s="689">
        <v>0</v>
      </c>
      <c r="M288" s="689">
        <v>0</v>
      </c>
      <c r="N288" s="689">
        <f t="shared" ref="N288:S288" si="777">300/12</f>
        <v>25</v>
      </c>
      <c r="O288" s="689">
        <f t="shared" si="777"/>
        <v>25</v>
      </c>
      <c r="P288" s="689">
        <f t="shared" si="777"/>
        <v>25</v>
      </c>
      <c r="Q288" s="689">
        <f t="shared" si="777"/>
        <v>25</v>
      </c>
      <c r="R288" s="689">
        <f t="shared" si="777"/>
        <v>25</v>
      </c>
      <c r="S288" s="689">
        <f t="shared" si="777"/>
        <v>25</v>
      </c>
      <c r="T288" s="917">
        <f>SUM(H288:S288)</f>
        <v>150</v>
      </c>
      <c r="U288" s="689">
        <f>300/12</f>
        <v>25</v>
      </c>
      <c r="V288" s="689">
        <f t="shared" ref="V288:AF288" si="778">300/12</f>
        <v>25</v>
      </c>
      <c r="W288" s="689">
        <f t="shared" si="778"/>
        <v>25</v>
      </c>
      <c r="X288" s="689">
        <f t="shared" si="778"/>
        <v>25</v>
      </c>
      <c r="Y288" s="689">
        <f t="shared" si="778"/>
        <v>25</v>
      </c>
      <c r="Z288" s="689">
        <f t="shared" si="778"/>
        <v>25</v>
      </c>
      <c r="AA288" s="689">
        <f t="shared" si="778"/>
        <v>25</v>
      </c>
      <c r="AB288" s="689">
        <f t="shared" si="778"/>
        <v>25</v>
      </c>
      <c r="AC288" s="689">
        <f t="shared" si="778"/>
        <v>25</v>
      </c>
      <c r="AD288" s="689">
        <f t="shared" si="778"/>
        <v>25</v>
      </c>
      <c r="AE288" s="689">
        <f t="shared" si="778"/>
        <v>25</v>
      </c>
      <c r="AF288" s="689">
        <f t="shared" si="778"/>
        <v>25</v>
      </c>
      <c r="AG288" s="917">
        <f>SUM(U288:AF288)</f>
        <v>300</v>
      </c>
      <c r="AH288" s="899">
        <v>300</v>
      </c>
      <c r="AI288" s="899">
        <v>300</v>
      </c>
      <c r="AJ288" s="899">
        <v>300</v>
      </c>
      <c r="AK288" s="899">
        <v>300</v>
      </c>
      <c r="AL288" s="899">
        <v>300</v>
      </c>
      <c r="AM288" s="899">
        <v>300</v>
      </c>
      <c r="AN288" s="899">
        <v>300</v>
      </c>
      <c r="AO288" s="1000">
        <v>300</v>
      </c>
    </row>
    <row r="289" spans="1:42" s="18" customFormat="1" ht="13.15" customHeight="1" x14ac:dyDescent="0.2">
      <c r="A289" s="680" t="s">
        <v>254</v>
      </c>
      <c r="B289" s="680"/>
      <c r="C289" s="690">
        <f t="shared" ref="C289:F289" si="779">C287*C288</f>
        <v>0</v>
      </c>
      <c r="D289" s="690">
        <f t="shared" si="779"/>
        <v>0</v>
      </c>
      <c r="E289" s="690">
        <f t="shared" si="779"/>
        <v>0</v>
      </c>
      <c r="F289" s="690">
        <f t="shared" si="779"/>
        <v>0</v>
      </c>
      <c r="G289" s="902">
        <f>SUM(C289:F289)</f>
        <v>0</v>
      </c>
      <c r="H289" s="690">
        <f t="shared" ref="H289:M289" si="780">H287*H288</f>
        <v>0</v>
      </c>
      <c r="I289" s="690">
        <f t="shared" si="780"/>
        <v>0</v>
      </c>
      <c r="J289" s="690">
        <f t="shared" si="780"/>
        <v>0</v>
      </c>
      <c r="K289" s="690">
        <f t="shared" si="780"/>
        <v>0</v>
      </c>
      <c r="L289" s="690">
        <f t="shared" si="780"/>
        <v>0</v>
      </c>
      <c r="M289" s="690">
        <f t="shared" si="780"/>
        <v>0</v>
      </c>
      <c r="N289" s="690">
        <f t="shared" ref="N289:S289" si="781">N287*N288</f>
        <v>0</v>
      </c>
      <c r="O289" s="690">
        <f t="shared" si="781"/>
        <v>0</v>
      </c>
      <c r="P289" s="690">
        <f t="shared" si="781"/>
        <v>0</v>
      </c>
      <c r="Q289" s="690">
        <f t="shared" si="781"/>
        <v>0</v>
      </c>
      <c r="R289" s="690">
        <f t="shared" si="781"/>
        <v>0</v>
      </c>
      <c r="S289" s="690">
        <f t="shared" si="781"/>
        <v>0</v>
      </c>
      <c r="T289" s="917">
        <f>SUM(H289:S289)</f>
        <v>0</v>
      </c>
      <c r="U289" s="690">
        <f t="shared" ref="U289:AF289" si="782">U287*U288</f>
        <v>0</v>
      </c>
      <c r="V289" s="690">
        <f t="shared" si="782"/>
        <v>0</v>
      </c>
      <c r="W289" s="690">
        <f t="shared" si="782"/>
        <v>0</v>
      </c>
      <c r="X289" s="690">
        <f t="shared" si="782"/>
        <v>0</v>
      </c>
      <c r="Y289" s="690">
        <f t="shared" si="782"/>
        <v>0</v>
      </c>
      <c r="Z289" s="690">
        <f t="shared" si="782"/>
        <v>0</v>
      </c>
      <c r="AA289" s="690">
        <f t="shared" si="782"/>
        <v>0</v>
      </c>
      <c r="AB289" s="690">
        <f t="shared" si="782"/>
        <v>0</v>
      </c>
      <c r="AC289" s="690">
        <f t="shared" si="782"/>
        <v>0</v>
      </c>
      <c r="AD289" s="690">
        <f t="shared" si="782"/>
        <v>0</v>
      </c>
      <c r="AE289" s="690">
        <f t="shared" si="782"/>
        <v>0</v>
      </c>
      <c r="AF289" s="690">
        <f t="shared" si="782"/>
        <v>0</v>
      </c>
      <c r="AG289" s="917">
        <f>SUM(U289:AF289)</f>
        <v>0</v>
      </c>
      <c r="AH289" s="902">
        <f t="shared" ref="AH289:AO289" si="783">AH287*AH288</f>
        <v>0</v>
      </c>
      <c r="AI289" s="902">
        <f t="shared" si="783"/>
        <v>0</v>
      </c>
      <c r="AJ289" s="902">
        <f t="shared" si="783"/>
        <v>0</v>
      </c>
      <c r="AK289" s="902">
        <f t="shared" si="783"/>
        <v>0</v>
      </c>
      <c r="AL289" s="902">
        <f t="shared" si="783"/>
        <v>0</v>
      </c>
      <c r="AM289" s="902">
        <f t="shared" si="783"/>
        <v>0</v>
      </c>
      <c r="AN289" s="902">
        <f t="shared" si="783"/>
        <v>0</v>
      </c>
      <c r="AO289" s="996">
        <f t="shared" si="783"/>
        <v>0</v>
      </c>
    </row>
    <row r="290" spans="1:42" s="18" customFormat="1" ht="13.15" customHeight="1" x14ac:dyDescent="0.2">
      <c r="A290" s="680" t="s">
        <v>249</v>
      </c>
      <c r="B290" s="680"/>
      <c r="C290" s="686">
        <f t="shared" ref="C290:F290" si="784">C278</f>
        <v>5</v>
      </c>
      <c r="D290" s="686">
        <f t="shared" si="784"/>
        <v>5</v>
      </c>
      <c r="E290" s="686">
        <f t="shared" si="784"/>
        <v>5</v>
      </c>
      <c r="F290" s="686">
        <f t="shared" si="784"/>
        <v>5</v>
      </c>
      <c r="G290" s="903">
        <f>F290</f>
        <v>5</v>
      </c>
      <c r="H290" s="686">
        <f t="shared" ref="H290:M290" si="785">H278</f>
        <v>5</v>
      </c>
      <c r="I290" s="686">
        <f t="shared" si="785"/>
        <v>5</v>
      </c>
      <c r="J290" s="686">
        <f t="shared" si="785"/>
        <v>5</v>
      </c>
      <c r="K290" s="686">
        <f t="shared" si="785"/>
        <v>5</v>
      </c>
      <c r="L290" s="686">
        <f t="shared" si="785"/>
        <v>5</v>
      </c>
      <c r="M290" s="686">
        <f t="shared" si="785"/>
        <v>5</v>
      </c>
      <c r="N290" s="686">
        <f t="shared" ref="N290:AO290" si="786">N278</f>
        <v>5</v>
      </c>
      <c r="O290" s="686">
        <f t="shared" si="786"/>
        <v>5</v>
      </c>
      <c r="P290" s="686">
        <f t="shared" si="786"/>
        <v>5</v>
      </c>
      <c r="Q290" s="686">
        <f t="shared" si="786"/>
        <v>5</v>
      </c>
      <c r="R290" s="686">
        <f t="shared" si="786"/>
        <v>5</v>
      </c>
      <c r="S290" s="686">
        <f t="shared" si="786"/>
        <v>5</v>
      </c>
      <c r="T290" s="919">
        <f t="shared" si="786"/>
        <v>5</v>
      </c>
      <c r="U290" s="686">
        <f t="shared" si="786"/>
        <v>5</v>
      </c>
      <c r="V290" s="686">
        <f t="shared" si="786"/>
        <v>5</v>
      </c>
      <c r="W290" s="686">
        <f t="shared" si="786"/>
        <v>5</v>
      </c>
      <c r="X290" s="686">
        <f t="shared" si="786"/>
        <v>5</v>
      </c>
      <c r="Y290" s="686">
        <f t="shared" si="786"/>
        <v>5</v>
      </c>
      <c r="Z290" s="686">
        <f t="shared" si="786"/>
        <v>5</v>
      </c>
      <c r="AA290" s="686">
        <f t="shared" si="786"/>
        <v>5</v>
      </c>
      <c r="AB290" s="686">
        <f t="shared" si="786"/>
        <v>5</v>
      </c>
      <c r="AC290" s="686">
        <f t="shared" si="786"/>
        <v>5</v>
      </c>
      <c r="AD290" s="686">
        <f t="shared" si="786"/>
        <v>5</v>
      </c>
      <c r="AE290" s="686">
        <f t="shared" si="786"/>
        <v>5</v>
      </c>
      <c r="AF290" s="686">
        <f t="shared" si="786"/>
        <v>5</v>
      </c>
      <c r="AG290" s="919">
        <f t="shared" si="786"/>
        <v>5</v>
      </c>
      <c r="AH290" s="919">
        <f t="shared" si="786"/>
        <v>5</v>
      </c>
      <c r="AI290" s="919">
        <f t="shared" si="786"/>
        <v>5</v>
      </c>
      <c r="AJ290" s="919">
        <f t="shared" si="786"/>
        <v>5</v>
      </c>
      <c r="AK290" s="919">
        <f t="shared" si="786"/>
        <v>5</v>
      </c>
      <c r="AL290" s="919">
        <f t="shared" si="786"/>
        <v>5</v>
      </c>
      <c r="AM290" s="919">
        <f t="shared" si="786"/>
        <v>5</v>
      </c>
      <c r="AN290" s="919">
        <f t="shared" si="786"/>
        <v>5</v>
      </c>
      <c r="AO290" s="998">
        <f t="shared" si="786"/>
        <v>5</v>
      </c>
    </row>
    <row r="291" spans="1:42" s="18" customFormat="1" ht="13.15" customHeight="1" x14ac:dyDescent="0.2">
      <c r="A291" s="680" t="s">
        <v>255</v>
      </c>
      <c r="B291" s="680"/>
      <c r="C291" s="690">
        <f t="shared" ref="C291:F291" si="787">C289*C290</f>
        <v>0</v>
      </c>
      <c r="D291" s="690">
        <f t="shared" si="787"/>
        <v>0</v>
      </c>
      <c r="E291" s="690">
        <f t="shared" si="787"/>
        <v>0</v>
      </c>
      <c r="F291" s="690">
        <f t="shared" si="787"/>
        <v>0</v>
      </c>
      <c r="G291" s="902">
        <f>SUM(C291:F291)</f>
        <v>0</v>
      </c>
      <c r="H291" s="690">
        <f t="shared" ref="H291:M291" si="788">H289*H290</f>
        <v>0</v>
      </c>
      <c r="I291" s="690">
        <f t="shared" si="788"/>
        <v>0</v>
      </c>
      <c r="J291" s="690">
        <f t="shared" si="788"/>
        <v>0</v>
      </c>
      <c r="K291" s="690">
        <f t="shared" si="788"/>
        <v>0</v>
      </c>
      <c r="L291" s="690">
        <f t="shared" si="788"/>
        <v>0</v>
      </c>
      <c r="M291" s="690">
        <f t="shared" si="788"/>
        <v>0</v>
      </c>
      <c r="N291" s="690">
        <f t="shared" ref="N291:S291" si="789">N289*N290</f>
        <v>0</v>
      </c>
      <c r="O291" s="690">
        <f t="shared" si="789"/>
        <v>0</v>
      </c>
      <c r="P291" s="690">
        <f t="shared" si="789"/>
        <v>0</v>
      </c>
      <c r="Q291" s="690">
        <f t="shared" si="789"/>
        <v>0</v>
      </c>
      <c r="R291" s="690">
        <f t="shared" si="789"/>
        <v>0</v>
      </c>
      <c r="S291" s="690">
        <f t="shared" si="789"/>
        <v>0</v>
      </c>
      <c r="T291" s="918">
        <f>SUM(H291:S291)</f>
        <v>0</v>
      </c>
      <c r="U291" s="690">
        <f t="shared" ref="U291:AF291" si="790">U289*U290</f>
        <v>0</v>
      </c>
      <c r="V291" s="690">
        <f t="shared" si="790"/>
        <v>0</v>
      </c>
      <c r="W291" s="690">
        <f t="shared" si="790"/>
        <v>0</v>
      </c>
      <c r="X291" s="690">
        <f t="shared" si="790"/>
        <v>0</v>
      </c>
      <c r="Y291" s="690">
        <f t="shared" si="790"/>
        <v>0</v>
      </c>
      <c r="Z291" s="690">
        <f t="shared" si="790"/>
        <v>0</v>
      </c>
      <c r="AA291" s="690">
        <f t="shared" si="790"/>
        <v>0</v>
      </c>
      <c r="AB291" s="690">
        <f t="shared" si="790"/>
        <v>0</v>
      </c>
      <c r="AC291" s="690">
        <f t="shared" si="790"/>
        <v>0</v>
      </c>
      <c r="AD291" s="690">
        <f t="shared" si="790"/>
        <v>0</v>
      </c>
      <c r="AE291" s="690">
        <f t="shared" si="790"/>
        <v>0</v>
      </c>
      <c r="AF291" s="690">
        <f t="shared" si="790"/>
        <v>0</v>
      </c>
      <c r="AG291" s="918">
        <f>SUM(U291:AF291)</f>
        <v>0</v>
      </c>
      <c r="AH291" s="902">
        <f t="shared" ref="AH291:AO291" si="791">AH289*AH290</f>
        <v>0</v>
      </c>
      <c r="AI291" s="902">
        <f t="shared" si="791"/>
        <v>0</v>
      </c>
      <c r="AJ291" s="902">
        <f t="shared" si="791"/>
        <v>0</v>
      </c>
      <c r="AK291" s="902">
        <f t="shared" si="791"/>
        <v>0</v>
      </c>
      <c r="AL291" s="902">
        <f t="shared" si="791"/>
        <v>0</v>
      </c>
      <c r="AM291" s="902">
        <f t="shared" si="791"/>
        <v>0</v>
      </c>
      <c r="AN291" s="902">
        <f t="shared" si="791"/>
        <v>0</v>
      </c>
      <c r="AO291" s="996">
        <f t="shared" si="791"/>
        <v>0</v>
      </c>
    </row>
    <row r="292" spans="1:42" s="18" customFormat="1" ht="13.15" customHeight="1" x14ac:dyDescent="0.2">
      <c r="A292" s="680"/>
      <c r="B292" s="680"/>
      <c r="C292" s="682"/>
      <c r="D292" s="682"/>
      <c r="E292" s="682"/>
      <c r="F292" s="682"/>
      <c r="G292" s="900"/>
      <c r="H292" s="682"/>
      <c r="I292" s="682"/>
      <c r="J292" s="682"/>
      <c r="K292" s="682"/>
      <c r="L292" s="682"/>
      <c r="M292" s="682"/>
      <c r="N292" s="682"/>
      <c r="O292" s="682"/>
      <c r="P292" s="682"/>
      <c r="Q292" s="682"/>
      <c r="R292" s="682"/>
      <c r="S292" s="682"/>
      <c r="T292" s="917"/>
      <c r="U292" s="682"/>
      <c r="V292" s="682"/>
      <c r="W292" s="682"/>
      <c r="X292" s="682"/>
      <c r="Y292" s="682"/>
      <c r="Z292" s="682"/>
      <c r="AA292" s="682"/>
      <c r="AB292" s="682"/>
      <c r="AC292" s="682"/>
      <c r="AD292" s="682"/>
      <c r="AE292" s="682"/>
      <c r="AF292" s="682"/>
      <c r="AG292" s="917"/>
      <c r="AH292" s="917"/>
      <c r="AI292" s="917"/>
      <c r="AJ292" s="917"/>
      <c r="AK292" s="924"/>
      <c r="AL292" s="924"/>
      <c r="AM292" s="924"/>
      <c r="AN292" s="924"/>
      <c r="AO292" s="995"/>
    </row>
    <row r="293" spans="1:42" s="277" customFormat="1" ht="13.15" customHeight="1" x14ac:dyDescent="0.2">
      <c r="A293" s="676" t="s">
        <v>257</v>
      </c>
      <c r="B293" s="676"/>
      <c r="C293" s="694">
        <f t="shared" ref="C293:F293" si="792">C279+C285+C291</f>
        <v>0</v>
      </c>
      <c r="D293" s="694">
        <f t="shared" si="792"/>
        <v>0</v>
      </c>
      <c r="E293" s="694">
        <f t="shared" si="792"/>
        <v>0</v>
      </c>
      <c r="F293" s="694">
        <f t="shared" si="792"/>
        <v>0</v>
      </c>
      <c r="G293" s="904">
        <f>SUM(C293:F293)</f>
        <v>0</v>
      </c>
      <c r="H293" s="694">
        <f t="shared" ref="H293:M293" si="793">H279+H285+H291</f>
        <v>0</v>
      </c>
      <c r="I293" s="694">
        <f t="shared" si="793"/>
        <v>0</v>
      </c>
      <c r="J293" s="694">
        <f t="shared" si="793"/>
        <v>0</v>
      </c>
      <c r="K293" s="694">
        <f t="shared" si="793"/>
        <v>0</v>
      </c>
      <c r="L293" s="694">
        <f t="shared" si="793"/>
        <v>0</v>
      </c>
      <c r="M293" s="694">
        <f t="shared" si="793"/>
        <v>0</v>
      </c>
      <c r="N293" s="694">
        <f t="shared" ref="N293:S293" si="794">N279+N285+N291</f>
        <v>0</v>
      </c>
      <c r="O293" s="694">
        <f t="shared" si="794"/>
        <v>0</v>
      </c>
      <c r="P293" s="694">
        <f t="shared" si="794"/>
        <v>0</v>
      </c>
      <c r="Q293" s="694">
        <f t="shared" si="794"/>
        <v>0</v>
      </c>
      <c r="R293" s="694">
        <f t="shared" si="794"/>
        <v>0</v>
      </c>
      <c r="S293" s="694">
        <f t="shared" si="794"/>
        <v>0</v>
      </c>
      <c r="T293" s="915">
        <f>SUM(H293:S293)</f>
        <v>0</v>
      </c>
      <c r="U293" s="694">
        <f t="shared" ref="U293:AF293" si="795">U279+U285+U291</f>
        <v>0</v>
      </c>
      <c r="V293" s="694">
        <f t="shared" si="795"/>
        <v>0</v>
      </c>
      <c r="W293" s="694">
        <f t="shared" si="795"/>
        <v>0</v>
      </c>
      <c r="X293" s="694">
        <f t="shared" si="795"/>
        <v>0</v>
      </c>
      <c r="Y293" s="694">
        <f t="shared" si="795"/>
        <v>0</v>
      </c>
      <c r="Z293" s="694">
        <f t="shared" si="795"/>
        <v>0</v>
      </c>
      <c r="AA293" s="694">
        <f t="shared" si="795"/>
        <v>0</v>
      </c>
      <c r="AB293" s="694">
        <f t="shared" si="795"/>
        <v>0</v>
      </c>
      <c r="AC293" s="694">
        <f t="shared" si="795"/>
        <v>0</v>
      </c>
      <c r="AD293" s="694">
        <f t="shared" si="795"/>
        <v>0</v>
      </c>
      <c r="AE293" s="694">
        <f t="shared" si="795"/>
        <v>0</v>
      </c>
      <c r="AF293" s="694">
        <f t="shared" si="795"/>
        <v>0</v>
      </c>
      <c r="AG293" s="904">
        <f>SUM(U293:AF293)</f>
        <v>0</v>
      </c>
      <c r="AH293" s="904">
        <f t="shared" ref="AH293:AO293" si="796">AH279+AH285+AH291</f>
        <v>0</v>
      </c>
      <c r="AI293" s="904">
        <f t="shared" si="796"/>
        <v>189.75000000000006</v>
      </c>
      <c r="AJ293" s="904">
        <f t="shared" si="796"/>
        <v>730.53750000000014</v>
      </c>
      <c r="AK293" s="904">
        <f t="shared" si="796"/>
        <v>1682.8453125000001</v>
      </c>
      <c r="AL293" s="904">
        <f t="shared" si="796"/>
        <v>3533.9751562500005</v>
      </c>
      <c r="AM293" s="904">
        <f t="shared" si="796"/>
        <v>5390.4901049999999</v>
      </c>
      <c r="AN293" s="904">
        <f t="shared" si="796"/>
        <v>6625.4023835999997</v>
      </c>
      <c r="AO293" s="1001">
        <f t="shared" si="796"/>
        <v>7950.4828603199985</v>
      </c>
    </row>
    <row r="294" spans="1:42" s="18" customFormat="1" ht="13.15" customHeight="1" x14ac:dyDescent="0.2">
      <c r="A294" s="680"/>
      <c r="B294" s="680"/>
      <c r="C294" s="682"/>
      <c r="D294" s="682"/>
      <c r="E294" s="682"/>
      <c r="F294" s="682"/>
      <c r="G294" s="900"/>
      <c r="H294" s="682"/>
      <c r="I294" s="682"/>
      <c r="J294" s="682"/>
      <c r="K294" s="682"/>
      <c r="L294" s="682"/>
      <c r="M294" s="682"/>
      <c r="N294" s="682"/>
      <c r="O294" s="682"/>
      <c r="P294" s="682"/>
      <c r="Q294" s="682"/>
      <c r="R294" s="682"/>
      <c r="S294" s="682"/>
      <c r="T294" s="917"/>
      <c r="U294" s="682"/>
      <c r="V294" s="682"/>
      <c r="W294" s="682"/>
      <c r="X294" s="682"/>
      <c r="Y294" s="682"/>
      <c r="Z294" s="682"/>
      <c r="AA294" s="682"/>
      <c r="AB294" s="682"/>
      <c r="AC294" s="682"/>
      <c r="AD294" s="682"/>
      <c r="AE294" s="682"/>
      <c r="AF294" s="682"/>
      <c r="AG294" s="917"/>
      <c r="AH294" s="917"/>
      <c r="AI294" s="917"/>
      <c r="AJ294" s="917"/>
      <c r="AK294" s="924"/>
      <c r="AL294" s="924"/>
      <c r="AM294" s="924"/>
      <c r="AN294" s="924"/>
      <c r="AO294" s="995"/>
    </row>
    <row r="295" spans="1:42" s="18" customFormat="1" ht="13.15" customHeight="1" x14ac:dyDescent="0.2">
      <c r="A295" s="680" t="s">
        <v>258</v>
      </c>
      <c r="B295" s="680"/>
      <c r="C295" s="767">
        <f t="shared" ref="C295:F295" si="797">C214</f>
        <v>300</v>
      </c>
      <c r="D295" s="767">
        <f t="shared" si="797"/>
        <v>300</v>
      </c>
      <c r="E295" s="767">
        <f t="shared" si="797"/>
        <v>300</v>
      </c>
      <c r="F295" s="767">
        <f t="shared" si="797"/>
        <v>300</v>
      </c>
      <c r="G295" s="905">
        <f>F295</f>
        <v>300</v>
      </c>
      <c r="H295" s="767">
        <f t="shared" ref="H295:M295" si="798">H214</f>
        <v>300</v>
      </c>
      <c r="I295" s="767">
        <f t="shared" si="798"/>
        <v>300</v>
      </c>
      <c r="J295" s="767">
        <f t="shared" si="798"/>
        <v>300</v>
      </c>
      <c r="K295" s="767">
        <f t="shared" si="798"/>
        <v>300</v>
      </c>
      <c r="L295" s="767">
        <f t="shared" si="798"/>
        <v>300</v>
      </c>
      <c r="M295" s="767">
        <f t="shared" si="798"/>
        <v>300</v>
      </c>
      <c r="N295" s="767">
        <f t="shared" ref="N295:AO295" si="799">N$25</f>
        <v>300</v>
      </c>
      <c r="O295" s="767">
        <f t="shared" si="799"/>
        <v>300</v>
      </c>
      <c r="P295" s="767">
        <f t="shared" si="799"/>
        <v>300</v>
      </c>
      <c r="Q295" s="767">
        <f t="shared" si="799"/>
        <v>300</v>
      </c>
      <c r="R295" s="767">
        <f t="shared" si="799"/>
        <v>300</v>
      </c>
      <c r="S295" s="767">
        <f t="shared" si="799"/>
        <v>300</v>
      </c>
      <c r="T295" s="905">
        <f t="shared" si="799"/>
        <v>300</v>
      </c>
      <c r="U295" s="767">
        <f t="shared" si="799"/>
        <v>300</v>
      </c>
      <c r="V295" s="767">
        <f t="shared" si="799"/>
        <v>300</v>
      </c>
      <c r="W295" s="767">
        <f t="shared" si="799"/>
        <v>300</v>
      </c>
      <c r="X295" s="767">
        <f t="shared" si="799"/>
        <v>300</v>
      </c>
      <c r="Y295" s="767">
        <f t="shared" si="799"/>
        <v>300</v>
      </c>
      <c r="Z295" s="767">
        <f t="shared" si="799"/>
        <v>300</v>
      </c>
      <c r="AA295" s="767">
        <f t="shared" si="799"/>
        <v>300</v>
      </c>
      <c r="AB295" s="767">
        <f t="shared" si="799"/>
        <v>300</v>
      </c>
      <c r="AC295" s="767">
        <f t="shared" si="799"/>
        <v>300</v>
      </c>
      <c r="AD295" s="767">
        <f t="shared" si="799"/>
        <v>300</v>
      </c>
      <c r="AE295" s="767">
        <f t="shared" si="799"/>
        <v>300</v>
      </c>
      <c r="AF295" s="767">
        <f t="shared" si="799"/>
        <v>300</v>
      </c>
      <c r="AG295" s="905">
        <f t="shared" si="799"/>
        <v>300</v>
      </c>
      <c r="AH295" s="905">
        <f t="shared" si="799"/>
        <v>300</v>
      </c>
      <c r="AI295" s="905">
        <f t="shared" si="799"/>
        <v>300</v>
      </c>
      <c r="AJ295" s="905">
        <f t="shared" si="799"/>
        <v>300</v>
      </c>
      <c r="AK295" s="905">
        <f t="shared" si="799"/>
        <v>300</v>
      </c>
      <c r="AL295" s="905">
        <f t="shared" si="799"/>
        <v>300</v>
      </c>
      <c r="AM295" s="905">
        <f t="shared" si="799"/>
        <v>300</v>
      </c>
      <c r="AN295" s="905">
        <f t="shared" si="799"/>
        <v>300</v>
      </c>
      <c r="AO295" s="1002">
        <f t="shared" si="799"/>
        <v>300</v>
      </c>
      <c r="AP295" s="988"/>
    </row>
    <row r="296" spans="1:42" s="18" customFormat="1" ht="13.15" customHeight="1" x14ac:dyDescent="0.2">
      <c r="A296" s="680"/>
      <c r="B296" s="680"/>
      <c r="C296" s="682"/>
      <c r="D296" s="682"/>
      <c r="E296" s="682"/>
      <c r="F296" s="682"/>
      <c r="G296" s="900"/>
      <c r="H296" s="682"/>
      <c r="I296" s="682"/>
      <c r="J296" s="682"/>
      <c r="K296" s="682"/>
      <c r="L296" s="682"/>
      <c r="M296" s="682"/>
      <c r="N296" s="682"/>
      <c r="O296" s="682"/>
      <c r="P296" s="682"/>
      <c r="Q296" s="682"/>
      <c r="R296" s="682"/>
      <c r="S296" s="682"/>
      <c r="T296" s="917"/>
      <c r="U296" s="682"/>
      <c r="V296" s="682"/>
      <c r="W296" s="682"/>
      <c r="X296" s="682"/>
      <c r="Y296" s="682"/>
      <c r="Z296" s="682"/>
      <c r="AA296" s="682"/>
      <c r="AB296" s="682"/>
      <c r="AC296" s="682"/>
      <c r="AD296" s="682"/>
      <c r="AE296" s="682"/>
      <c r="AF296" s="682"/>
      <c r="AG296" s="917"/>
      <c r="AH296" s="917"/>
      <c r="AI296" s="917"/>
      <c r="AJ296" s="917"/>
      <c r="AK296" s="924"/>
      <c r="AL296" s="924"/>
      <c r="AM296" s="924"/>
      <c r="AN296" s="924"/>
      <c r="AO296" s="995"/>
    </row>
    <row r="297" spans="1:42" s="794" customFormat="1" ht="13.15" customHeight="1" x14ac:dyDescent="0.2">
      <c r="A297" s="763" t="s">
        <v>425</v>
      </c>
      <c r="B297" s="763"/>
      <c r="C297" s="765">
        <f t="shared" ref="C297:F297" si="800">C293*C295</f>
        <v>0</v>
      </c>
      <c r="D297" s="765">
        <f t="shared" si="800"/>
        <v>0</v>
      </c>
      <c r="E297" s="765">
        <f t="shared" si="800"/>
        <v>0</v>
      </c>
      <c r="F297" s="765">
        <f t="shared" si="800"/>
        <v>0</v>
      </c>
      <c r="G297" s="906">
        <f>SUM(C297:F297)</f>
        <v>0</v>
      </c>
      <c r="H297" s="765">
        <f t="shared" ref="H297:M297" si="801">H293*H295</f>
        <v>0</v>
      </c>
      <c r="I297" s="765">
        <f t="shared" si="801"/>
        <v>0</v>
      </c>
      <c r="J297" s="765">
        <f t="shared" si="801"/>
        <v>0</v>
      </c>
      <c r="K297" s="765">
        <f t="shared" si="801"/>
        <v>0</v>
      </c>
      <c r="L297" s="765">
        <f t="shared" si="801"/>
        <v>0</v>
      </c>
      <c r="M297" s="765">
        <f t="shared" si="801"/>
        <v>0</v>
      </c>
      <c r="N297" s="765">
        <f t="shared" ref="N297:S297" si="802">N293*N295</f>
        <v>0</v>
      </c>
      <c r="O297" s="765">
        <f t="shared" si="802"/>
        <v>0</v>
      </c>
      <c r="P297" s="765">
        <f t="shared" si="802"/>
        <v>0</v>
      </c>
      <c r="Q297" s="765">
        <f t="shared" si="802"/>
        <v>0</v>
      </c>
      <c r="R297" s="765">
        <f t="shared" si="802"/>
        <v>0</v>
      </c>
      <c r="S297" s="765">
        <f t="shared" si="802"/>
        <v>0</v>
      </c>
      <c r="T297" s="906">
        <f>SUM(H297:S297)</f>
        <v>0</v>
      </c>
      <c r="U297" s="765">
        <f>U293*U295</f>
        <v>0</v>
      </c>
      <c r="V297" s="765">
        <f t="shared" ref="V297:AF297" si="803">V293*V295</f>
        <v>0</v>
      </c>
      <c r="W297" s="765">
        <f t="shared" si="803"/>
        <v>0</v>
      </c>
      <c r="X297" s="765">
        <f t="shared" si="803"/>
        <v>0</v>
      </c>
      <c r="Y297" s="765">
        <f t="shared" si="803"/>
        <v>0</v>
      </c>
      <c r="Z297" s="765">
        <f t="shared" si="803"/>
        <v>0</v>
      </c>
      <c r="AA297" s="765">
        <f t="shared" si="803"/>
        <v>0</v>
      </c>
      <c r="AB297" s="765">
        <f t="shared" si="803"/>
        <v>0</v>
      </c>
      <c r="AC297" s="765">
        <f t="shared" si="803"/>
        <v>0</v>
      </c>
      <c r="AD297" s="765">
        <f t="shared" si="803"/>
        <v>0</v>
      </c>
      <c r="AE297" s="765">
        <f t="shared" si="803"/>
        <v>0</v>
      </c>
      <c r="AF297" s="765">
        <f t="shared" si="803"/>
        <v>0</v>
      </c>
      <c r="AG297" s="906">
        <f>SUM(U297:AF297)</f>
        <v>0</v>
      </c>
      <c r="AH297" s="906">
        <f t="shared" ref="AH297:AO297" si="804">AH293*AH295</f>
        <v>0</v>
      </c>
      <c r="AI297" s="906">
        <f t="shared" si="804"/>
        <v>56925.000000000015</v>
      </c>
      <c r="AJ297" s="906">
        <f t="shared" si="804"/>
        <v>219161.25000000003</v>
      </c>
      <c r="AK297" s="906">
        <f t="shared" si="804"/>
        <v>504853.59375</v>
      </c>
      <c r="AL297" s="906">
        <f t="shared" si="804"/>
        <v>1060192.5468750002</v>
      </c>
      <c r="AM297" s="906">
        <f t="shared" si="804"/>
        <v>1617147.0315</v>
      </c>
      <c r="AN297" s="906">
        <f t="shared" si="804"/>
        <v>1987620.71508</v>
      </c>
      <c r="AO297" s="1003">
        <f t="shared" si="804"/>
        <v>2385144.8580959993</v>
      </c>
      <c r="AP297" s="277"/>
    </row>
    <row r="298" spans="1:42" s="18" customFormat="1" ht="13.15" customHeight="1" x14ac:dyDescent="0.2">
      <c r="A298" s="680"/>
      <c r="B298" s="680"/>
      <c r="C298" s="680"/>
      <c r="D298" s="680"/>
      <c r="E298" s="680"/>
      <c r="F298" s="680"/>
      <c r="G298" s="900"/>
      <c r="H298" s="682"/>
      <c r="I298" s="682"/>
      <c r="J298" s="682"/>
      <c r="K298" s="682"/>
      <c r="L298" s="682"/>
      <c r="M298" s="682"/>
      <c r="N298" s="682"/>
      <c r="O298" s="682"/>
      <c r="P298" s="682"/>
      <c r="Q298" s="682"/>
      <c r="R298" s="682"/>
      <c r="S298" s="682"/>
      <c r="T298" s="917"/>
      <c r="U298" s="682"/>
      <c r="V298" s="682"/>
      <c r="W298" s="682"/>
      <c r="X298" s="682"/>
      <c r="Y298" s="682"/>
      <c r="Z298" s="682"/>
      <c r="AA298" s="682"/>
      <c r="AB298" s="682"/>
      <c r="AC298" s="682"/>
      <c r="AD298" s="682"/>
      <c r="AE298" s="682"/>
      <c r="AF298" s="682"/>
      <c r="AG298" s="917"/>
      <c r="AH298" s="917"/>
      <c r="AI298" s="917"/>
      <c r="AJ298" s="917"/>
      <c r="AK298" s="924"/>
      <c r="AL298" s="924"/>
      <c r="AM298" s="924"/>
      <c r="AN298" s="924"/>
      <c r="AO298" s="995"/>
    </row>
    <row r="299" spans="1:42" s="18" customFormat="1" ht="13.15" customHeight="1" x14ac:dyDescent="0.2">
      <c r="A299" s="680"/>
      <c r="B299" s="680"/>
      <c r="C299" s="680"/>
      <c r="D299" s="680"/>
      <c r="E299" s="680"/>
      <c r="F299" s="680"/>
      <c r="G299" s="900"/>
      <c r="H299" s="682"/>
      <c r="I299" s="682"/>
      <c r="J299" s="682"/>
      <c r="K299" s="682"/>
      <c r="L299" s="682"/>
      <c r="M299" s="682"/>
      <c r="N299" s="682"/>
      <c r="O299" s="682"/>
      <c r="P299" s="682"/>
      <c r="Q299" s="682"/>
      <c r="R299" s="682"/>
      <c r="S299" s="682"/>
      <c r="T299" s="917"/>
      <c r="U299" s="682"/>
      <c r="V299" s="682"/>
      <c r="W299" s="682"/>
      <c r="X299" s="682"/>
      <c r="Y299" s="682"/>
      <c r="Z299" s="682"/>
      <c r="AA299" s="682"/>
      <c r="AB299" s="682"/>
      <c r="AC299" s="682"/>
      <c r="AD299" s="682"/>
      <c r="AE299" s="682"/>
      <c r="AF299" s="682"/>
      <c r="AG299" s="917"/>
      <c r="AH299" s="917"/>
      <c r="AI299" s="917"/>
      <c r="AJ299" s="917"/>
      <c r="AK299" s="924"/>
      <c r="AL299" s="924"/>
      <c r="AM299" s="924"/>
      <c r="AN299" s="924"/>
      <c r="AO299" s="995"/>
    </row>
    <row r="300" spans="1:42" s="18" customFormat="1" ht="13.15" customHeight="1" x14ac:dyDescent="0.2">
      <c r="A300" s="676" t="s">
        <v>451</v>
      </c>
      <c r="B300" s="676"/>
      <c r="C300" s="676"/>
      <c r="D300" s="676"/>
      <c r="E300" s="676"/>
      <c r="F300" s="676"/>
      <c r="G300" s="898"/>
      <c r="H300" s="678"/>
      <c r="I300" s="678"/>
      <c r="J300" s="678"/>
      <c r="K300" s="678"/>
      <c r="L300" s="678"/>
      <c r="M300" s="678"/>
      <c r="N300" s="678"/>
      <c r="O300" s="678"/>
      <c r="P300" s="678"/>
      <c r="Q300" s="678"/>
      <c r="R300" s="678"/>
      <c r="S300" s="678"/>
      <c r="T300" s="915"/>
      <c r="U300" s="678"/>
      <c r="V300" s="678"/>
      <c r="W300" s="678"/>
      <c r="X300" s="678"/>
      <c r="Y300" s="678"/>
      <c r="Z300" s="678"/>
      <c r="AA300" s="678"/>
      <c r="AB300" s="678"/>
      <c r="AC300" s="678"/>
      <c r="AD300" s="678"/>
      <c r="AE300" s="678"/>
      <c r="AF300" s="678"/>
      <c r="AG300" s="915"/>
      <c r="AH300" s="915"/>
      <c r="AI300" s="915"/>
      <c r="AJ300" s="915"/>
      <c r="AK300" s="924"/>
      <c r="AL300" s="924"/>
      <c r="AM300" s="924"/>
      <c r="AN300" s="924"/>
      <c r="AO300" s="995"/>
    </row>
    <row r="301" spans="1:42" s="18" customFormat="1" ht="13.15" customHeight="1" x14ac:dyDescent="0.2">
      <c r="A301" s="674" t="s">
        <v>250</v>
      </c>
      <c r="B301" s="674"/>
      <c r="C301" s="690">
        <f>$G301/12</f>
        <v>958.33333333333337</v>
      </c>
      <c r="D301" s="690">
        <f t="shared" ref="D301:F301" si="805">$G301/12</f>
        <v>958.33333333333337</v>
      </c>
      <c r="E301" s="690">
        <f t="shared" si="805"/>
        <v>958.33333333333337</v>
      </c>
      <c r="F301" s="690">
        <f t="shared" si="805"/>
        <v>958.33333333333337</v>
      </c>
      <c r="G301" s="899">
        <v>11500</v>
      </c>
      <c r="H301" s="690">
        <f t="shared" ref="H301:M301" si="806">$T301/12</f>
        <v>958.33333333333337</v>
      </c>
      <c r="I301" s="690">
        <f t="shared" si="806"/>
        <v>958.33333333333337</v>
      </c>
      <c r="J301" s="690">
        <f t="shared" si="806"/>
        <v>958.33333333333337</v>
      </c>
      <c r="K301" s="690">
        <f t="shared" si="806"/>
        <v>958.33333333333337</v>
      </c>
      <c r="L301" s="690">
        <f t="shared" si="806"/>
        <v>958.33333333333337</v>
      </c>
      <c r="M301" s="690">
        <f t="shared" si="806"/>
        <v>958.33333333333337</v>
      </c>
      <c r="N301" s="690">
        <f t="shared" ref="N301:S301" si="807">$T301/12</f>
        <v>958.33333333333337</v>
      </c>
      <c r="O301" s="690">
        <f t="shared" si="807"/>
        <v>958.33333333333337</v>
      </c>
      <c r="P301" s="690">
        <f t="shared" si="807"/>
        <v>958.33333333333337</v>
      </c>
      <c r="Q301" s="690">
        <f t="shared" si="807"/>
        <v>958.33333333333337</v>
      </c>
      <c r="R301" s="690">
        <f t="shared" si="807"/>
        <v>958.33333333333337</v>
      </c>
      <c r="S301" s="690">
        <f t="shared" si="807"/>
        <v>958.33333333333337</v>
      </c>
      <c r="T301" s="899">
        <v>11500</v>
      </c>
      <c r="U301" s="690">
        <f>$AG301/12</f>
        <v>1006.25</v>
      </c>
      <c r="V301" s="690">
        <f t="shared" ref="V301:AF301" si="808">$AG301/12</f>
        <v>1006.25</v>
      </c>
      <c r="W301" s="690">
        <f t="shared" si="808"/>
        <v>1006.25</v>
      </c>
      <c r="X301" s="690">
        <f t="shared" si="808"/>
        <v>1006.25</v>
      </c>
      <c r="Y301" s="690">
        <f t="shared" si="808"/>
        <v>1006.25</v>
      </c>
      <c r="Z301" s="690">
        <f t="shared" si="808"/>
        <v>1006.25</v>
      </c>
      <c r="AA301" s="690">
        <f t="shared" si="808"/>
        <v>1006.25</v>
      </c>
      <c r="AB301" s="690">
        <f t="shared" si="808"/>
        <v>1006.25</v>
      </c>
      <c r="AC301" s="690">
        <f t="shared" si="808"/>
        <v>1006.25</v>
      </c>
      <c r="AD301" s="690">
        <f t="shared" si="808"/>
        <v>1006.25</v>
      </c>
      <c r="AE301" s="690">
        <f t="shared" si="808"/>
        <v>1006.25</v>
      </c>
      <c r="AF301" s="690">
        <f t="shared" si="808"/>
        <v>1006.25</v>
      </c>
      <c r="AG301" s="902">
        <f>T301*(1+AG302)</f>
        <v>12075</v>
      </c>
      <c r="AH301" s="902">
        <f t="shared" ref="AH301:AO301" si="809">AG301*(1+AH302)</f>
        <v>12678.75</v>
      </c>
      <c r="AI301" s="902">
        <f t="shared" si="809"/>
        <v>13185.9</v>
      </c>
      <c r="AJ301" s="902">
        <f t="shared" si="809"/>
        <v>13581.477000000001</v>
      </c>
      <c r="AK301" s="902">
        <f t="shared" si="809"/>
        <v>13853.106540000001</v>
      </c>
      <c r="AL301" s="902">
        <f t="shared" si="809"/>
        <v>13991.637605400001</v>
      </c>
      <c r="AM301" s="902">
        <f t="shared" si="809"/>
        <v>13991.637605400001</v>
      </c>
      <c r="AN301" s="902">
        <f t="shared" si="809"/>
        <v>13991.637605400001</v>
      </c>
      <c r="AO301" s="996">
        <f t="shared" si="809"/>
        <v>13991.637605400001</v>
      </c>
    </row>
    <row r="302" spans="1:42" s="987" customFormat="1" ht="13.15" customHeight="1" x14ac:dyDescent="0.2">
      <c r="A302" s="680" t="s">
        <v>324</v>
      </c>
      <c r="B302" s="680"/>
      <c r="C302" s="687"/>
      <c r="D302" s="687"/>
      <c r="E302" s="687"/>
      <c r="F302" s="687"/>
      <c r="G302" s="900"/>
      <c r="H302" s="687"/>
      <c r="I302" s="687"/>
      <c r="J302" s="687"/>
      <c r="K302" s="687"/>
      <c r="L302" s="687"/>
      <c r="M302" s="687"/>
      <c r="N302" s="687"/>
      <c r="O302" s="687"/>
      <c r="P302" s="687"/>
      <c r="Q302" s="687"/>
      <c r="R302" s="687"/>
      <c r="S302" s="687"/>
      <c r="T302" s="916"/>
      <c r="U302" s="687"/>
      <c r="V302" s="687"/>
      <c r="W302" s="687"/>
      <c r="X302" s="687"/>
      <c r="Y302" s="687"/>
      <c r="Z302" s="687"/>
      <c r="AA302" s="687"/>
      <c r="AB302" s="687"/>
      <c r="AC302" s="687"/>
      <c r="AD302" s="687"/>
      <c r="AE302" s="687"/>
      <c r="AF302" s="687"/>
      <c r="AG302" s="921">
        <v>0.05</v>
      </c>
      <c r="AH302" s="921">
        <v>0.05</v>
      </c>
      <c r="AI302" s="921">
        <f>AH302-1%</f>
        <v>0.04</v>
      </c>
      <c r="AJ302" s="921">
        <f>AI302-1%</f>
        <v>0.03</v>
      </c>
      <c r="AK302" s="921">
        <f>AJ302-1%</f>
        <v>1.9999999999999997E-2</v>
      </c>
      <c r="AL302" s="921">
        <f>AK302-1%</f>
        <v>9.9999999999999967E-3</v>
      </c>
      <c r="AM302" s="921">
        <f>AL302-1%</f>
        <v>0</v>
      </c>
      <c r="AN302" s="925">
        <f>AM302</f>
        <v>0</v>
      </c>
      <c r="AO302" s="997">
        <f>AN302</f>
        <v>0</v>
      </c>
    </row>
    <row r="303" spans="1:42" s="987" customFormat="1" ht="13.15" customHeight="1" x14ac:dyDescent="0.2">
      <c r="A303" s="680" t="s">
        <v>248</v>
      </c>
      <c r="B303" s="680"/>
      <c r="C303" s="687">
        <f t="shared" ref="C303:F303" si="810">C276</f>
        <v>0</v>
      </c>
      <c r="D303" s="687">
        <f t="shared" si="810"/>
        <v>0</v>
      </c>
      <c r="E303" s="687">
        <f t="shared" si="810"/>
        <v>0</v>
      </c>
      <c r="F303" s="687">
        <f t="shared" si="810"/>
        <v>0</v>
      </c>
      <c r="G303" s="900">
        <f>F303</f>
        <v>0</v>
      </c>
      <c r="H303" s="687">
        <f t="shared" ref="H303:M303" si="811">H276</f>
        <v>0</v>
      </c>
      <c r="I303" s="687">
        <f t="shared" si="811"/>
        <v>0</v>
      </c>
      <c r="J303" s="687">
        <f t="shared" si="811"/>
        <v>0</v>
      </c>
      <c r="K303" s="687">
        <f t="shared" si="811"/>
        <v>0</v>
      </c>
      <c r="L303" s="687">
        <f t="shared" si="811"/>
        <v>0</v>
      </c>
      <c r="M303" s="687">
        <f t="shared" si="811"/>
        <v>0</v>
      </c>
      <c r="N303" s="687">
        <f t="shared" ref="N303:S303" si="812">N276</f>
        <v>0</v>
      </c>
      <c r="O303" s="687">
        <f t="shared" si="812"/>
        <v>0</v>
      </c>
      <c r="P303" s="687">
        <f t="shared" si="812"/>
        <v>0</v>
      </c>
      <c r="Q303" s="687">
        <f t="shared" si="812"/>
        <v>0</v>
      </c>
      <c r="R303" s="687">
        <f t="shared" si="812"/>
        <v>0</v>
      </c>
      <c r="S303" s="687">
        <f t="shared" si="812"/>
        <v>0</v>
      </c>
      <c r="T303" s="916">
        <f>S303</f>
        <v>0</v>
      </c>
      <c r="U303" s="687">
        <v>0</v>
      </c>
      <c r="V303" s="687">
        <f t="shared" ref="V303:AG303" si="813">U303</f>
        <v>0</v>
      </c>
      <c r="W303" s="687">
        <f t="shared" si="813"/>
        <v>0</v>
      </c>
      <c r="X303" s="687">
        <f t="shared" si="813"/>
        <v>0</v>
      </c>
      <c r="Y303" s="687">
        <f t="shared" si="813"/>
        <v>0</v>
      </c>
      <c r="Z303" s="687">
        <f t="shared" si="813"/>
        <v>0</v>
      </c>
      <c r="AA303" s="687">
        <f t="shared" si="813"/>
        <v>0</v>
      </c>
      <c r="AB303" s="687">
        <f t="shared" si="813"/>
        <v>0</v>
      </c>
      <c r="AC303" s="687">
        <f t="shared" si="813"/>
        <v>0</v>
      </c>
      <c r="AD303" s="687">
        <f t="shared" si="813"/>
        <v>0</v>
      </c>
      <c r="AE303" s="687">
        <f t="shared" si="813"/>
        <v>0</v>
      </c>
      <c r="AF303" s="687">
        <f t="shared" si="813"/>
        <v>0</v>
      </c>
      <c r="AG303" s="916">
        <f t="shared" si="813"/>
        <v>0</v>
      </c>
      <c r="AH303" s="921">
        <f>AH276</f>
        <v>0</v>
      </c>
      <c r="AI303" s="921">
        <f t="shared" ref="AI303:AO303" si="814">AI276</f>
        <v>1.0000000000000002E-2</v>
      </c>
      <c r="AJ303" s="921">
        <f t="shared" si="814"/>
        <v>2.5000000000000001E-2</v>
      </c>
      <c r="AK303" s="921">
        <f t="shared" si="814"/>
        <v>0.05</v>
      </c>
      <c r="AL303" s="921">
        <f t="shared" si="814"/>
        <v>0.1</v>
      </c>
      <c r="AM303" s="921">
        <f t="shared" si="814"/>
        <v>0.12</v>
      </c>
      <c r="AN303" s="921">
        <f t="shared" si="814"/>
        <v>0.13999999999999999</v>
      </c>
      <c r="AO303" s="1004">
        <f t="shared" si="814"/>
        <v>0.15999999999999998</v>
      </c>
    </row>
    <row r="304" spans="1:42" s="18" customFormat="1" ht="13.15" customHeight="1" x14ac:dyDescent="0.2">
      <c r="A304" s="680" t="s">
        <v>251</v>
      </c>
      <c r="B304" s="680"/>
      <c r="C304" s="690">
        <f t="shared" ref="C304:F304" si="815">C301*C303</f>
        <v>0</v>
      </c>
      <c r="D304" s="690">
        <f t="shared" si="815"/>
        <v>0</v>
      </c>
      <c r="E304" s="690">
        <f t="shared" si="815"/>
        <v>0</v>
      </c>
      <c r="F304" s="690">
        <f t="shared" si="815"/>
        <v>0</v>
      </c>
      <c r="G304" s="902">
        <f>SUM(C304:F304)</f>
        <v>0</v>
      </c>
      <c r="H304" s="690">
        <f t="shared" ref="H304:M304" si="816">H301*H303</f>
        <v>0</v>
      </c>
      <c r="I304" s="690">
        <f t="shared" si="816"/>
        <v>0</v>
      </c>
      <c r="J304" s="690">
        <f t="shared" si="816"/>
        <v>0</v>
      </c>
      <c r="K304" s="690">
        <f t="shared" si="816"/>
        <v>0</v>
      </c>
      <c r="L304" s="690">
        <f t="shared" si="816"/>
        <v>0</v>
      </c>
      <c r="M304" s="690">
        <f t="shared" si="816"/>
        <v>0</v>
      </c>
      <c r="N304" s="690">
        <f t="shared" ref="N304:S304" si="817">N301*N303</f>
        <v>0</v>
      </c>
      <c r="O304" s="690">
        <f t="shared" si="817"/>
        <v>0</v>
      </c>
      <c r="P304" s="690">
        <f t="shared" si="817"/>
        <v>0</v>
      </c>
      <c r="Q304" s="690">
        <f t="shared" si="817"/>
        <v>0</v>
      </c>
      <c r="R304" s="690">
        <f t="shared" si="817"/>
        <v>0</v>
      </c>
      <c r="S304" s="690">
        <f t="shared" si="817"/>
        <v>0</v>
      </c>
      <c r="T304" s="917">
        <f>SUM(H304:S304)</f>
        <v>0</v>
      </c>
      <c r="U304" s="690">
        <f t="shared" ref="U304:AF304" si="818">U301*U303</f>
        <v>0</v>
      </c>
      <c r="V304" s="690">
        <f t="shared" si="818"/>
        <v>0</v>
      </c>
      <c r="W304" s="690">
        <f t="shared" si="818"/>
        <v>0</v>
      </c>
      <c r="X304" s="690">
        <f t="shared" si="818"/>
        <v>0</v>
      </c>
      <c r="Y304" s="690">
        <f t="shared" si="818"/>
        <v>0</v>
      </c>
      <c r="Z304" s="690">
        <f t="shared" si="818"/>
        <v>0</v>
      </c>
      <c r="AA304" s="690">
        <f t="shared" si="818"/>
        <v>0</v>
      </c>
      <c r="AB304" s="690">
        <f t="shared" si="818"/>
        <v>0</v>
      </c>
      <c r="AC304" s="690">
        <f t="shared" si="818"/>
        <v>0</v>
      </c>
      <c r="AD304" s="690">
        <f t="shared" si="818"/>
        <v>0</v>
      </c>
      <c r="AE304" s="690">
        <f t="shared" si="818"/>
        <v>0</v>
      </c>
      <c r="AF304" s="690">
        <f t="shared" si="818"/>
        <v>0</v>
      </c>
      <c r="AG304" s="902">
        <f>SUM(U304:AF304)</f>
        <v>0</v>
      </c>
      <c r="AH304" s="902">
        <f>AH301*AVERAGE(AF303,AH303)</f>
        <v>0</v>
      </c>
      <c r="AI304" s="902">
        <f t="shared" ref="AI304:AO304" si="819">AI301*AVERAGE(AH303,AI303)</f>
        <v>65.929500000000004</v>
      </c>
      <c r="AJ304" s="902">
        <f t="shared" si="819"/>
        <v>237.67584750000003</v>
      </c>
      <c r="AK304" s="902">
        <f t="shared" si="819"/>
        <v>519.49149525000007</v>
      </c>
      <c r="AL304" s="902">
        <f t="shared" si="819"/>
        <v>1049.3728204050003</v>
      </c>
      <c r="AM304" s="902">
        <f t="shared" si="819"/>
        <v>1539.0801365940001</v>
      </c>
      <c r="AN304" s="902">
        <f t="shared" si="819"/>
        <v>1818.9128887020001</v>
      </c>
      <c r="AO304" s="996">
        <f t="shared" si="819"/>
        <v>2098.7456408099997</v>
      </c>
    </row>
    <row r="305" spans="1:42" s="18" customFormat="1" ht="13.15" customHeight="1" x14ac:dyDescent="0.2">
      <c r="A305" s="680" t="s">
        <v>249</v>
      </c>
      <c r="B305" s="680"/>
      <c r="C305" s="686">
        <v>3</v>
      </c>
      <c r="D305" s="686">
        <f>C305</f>
        <v>3</v>
      </c>
      <c r="E305" s="686">
        <f t="shared" ref="E305:F305" si="820">D305</f>
        <v>3</v>
      </c>
      <c r="F305" s="686">
        <f t="shared" si="820"/>
        <v>3</v>
      </c>
      <c r="G305" s="903">
        <f>F305</f>
        <v>3</v>
      </c>
      <c r="H305" s="686">
        <f>F305</f>
        <v>3</v>
      </c>
      <c r="I305" s="686">
        <f>H305</f>
        <v>3</v>
      </c>
      <c r="J305" s="686">
        <f t="shared" ref="J305:S305" si="821">I305</f>
        <v>3</v>
      </c>
      <c r="K305" s="686">
        <f t="shared" si="821"/>
        <v>3</v>
      </c>
      <c r="L305" s="686">
        <f t="shared" si="821"/>
        <v>3</v>
      </c>
      <c r="M305" s="686">
        <f t="shared" si="821"/>
        <v>3</v>
      </c>
      <c r="N305" s="686">
        <f t="shared" si="821"/>
        <v>3</v>
      </c>
      <c r="O305" s="686">
        <f t="shared" si="821"/>
        <v>3</v>
      </c>
      <c r="P305" s="686">
        <f t="shared" si="821"/>
        <v>3</v>
      </c>
      <c r="Q305" s="686">
        <f t="shared" si="821"/>
        <v>3</v>
      </c>
      <c r="R305" s="686">
        <f t="shared" si="821"/>
        <v>3</v>
      </c>
      <c r="S305" s="686">
        <f t="shared" si="821"/>
        <v>3</v>
      </c>
      <c r="T305" s="903">
        <f t="shared" ref="T305" si="822">S305</f>
        <v>3</v>
      </c>
      <c r="U305" s="686">
        <f>S305</f>
        <v>3</v>
      </c>
      <c r="V305" s="686">
        <f t="shared" ref="V305:AG305" si="823">U305</f>
        <v>3</v>
      </c>
      <c r="W305" s="686">
        <f t="shared" si="823"/>
        <v>3</v>
      </c>
      <c r="X305" s="686">
        <f t="shared" si="823"/>
        <v>3</v>
      </c>
      <c r="Y305" s="686">
        <f t="shared" si="823"/>
        <v>3</v>
      </c>
      <c r="Z305" s="686">
        <f t="shared" si="823"/>
        <v>3</v>
      </c>
      <c r="AA305" s="686">
        <f t="shared" si="823"/>
        <v>3</v>
      </c>
      <c r="AB305" s="686">
        <f t="shared" si="823"/>
        <v>3</v>
      </c>
      <c r="AC305" s="686">
        <f t="shared" si="823"/>
        <v>3</v>
      </c>
      <c r="AD305" s="686">
        <f t="shared" si="823"/>
        <v>3</v>
      </c>
      <c r="AE305" s="686">
        <f t="shared" si="823"/>
        <v>3</v>
      </c>
      <c r="AF305" s="686">
        <f t="shared" si="823"/>
        <v>3</v>
      </c>
      <c r="AG305" s="919">
        <f t="shared" si="823"/>
        <v>3</v>
      </c>
      <c r="AH305" s="919">
        <f>AF305</f>
        <v>3</v>
      </c>
      <c r="AI305" s="919">
        <f t="shared" ref="AI305:AO305" si="824">AH305</f>
        <v>3</v>
      </c>
      <c r="AJ305" s="919">
        <f t="shared" si="824"/>
        <v>3</v>
      </c>
      <c r="AK305" s="919">
        <f t="shared" si="824"/>
        <v>3</v>
      </c>
      <c r="AL305" s="919">
        <f t="shared" si="824"/>
        <v>3</v>
      </c>
      <c r="AM305" s="919">
        <f t="shared" si="824"/>
        <v>3</v>
      </c>
      <c r="AN305" s="919">
        <f t="shared" si="824"/>
        <v>3</v>
      </c>
      <c r="AO305" s="998">
        <f t="shared" si="824"/>
        <v>3</v>
      </c>
    </row>
    <row r="306" spans="1:42" s="18" customFormat="1" ht="13.15" customHeight="1" x14ac:dyDescent="0.2">
      <c r="A306" s="680" t="s">
        <v>255</v>
      </c>
      <c r="B306" s="680"/>
      <c r="C306" s="690">
        <f t="shared" ref="C306:F306" si="825">C304*C305</f>
        <v>0</v>
      </c>
      <c r="D306" s="690">
        <f t="shared" si="825"/>
        <v>0</v>
      </c>
      <c r="E306" s="690">
        <f t="shared" si="825"/>
        <v>0</v>
      </c>
      <c r="F306" s="690">
        <f t="shared" si="825"/>
        <v>0</v>
      </c>
      <c r="G306" s="902">
        <f>SUM(C306:F306)</f>
        <v>0</v>
      </c>
      <c r="H306" s="690">
        <f t="shared" ref="H306:M306" si="826">H304*H305</f>
        <v>0</v>
      </c>
      <c r="I306" s="690">
        <f t="shared" si="826"/>
        <v>0</v>
      </c>
      <c r="J306" s="690">
        <f t="shared" si="826"/>
        <v>0</v>
      </c>
      <c r="K306" s="690">
        <f t="shared" si="826"/>
        <v>0</v>
      </c>
      <c r="L306" s="690">
        <f t="shared" si="826"/>
        <v>0</v>
      </c>
      <c r="M306" s="690">
        <f t="shared" si="826"/>
        <v>0</v>
      </c>
      <c r="N306" s="690">
        <f t="shared" ref="N306:S306" si="827">N304*N305</f>
        <v>0</v>
      </c>
      <c r="O306" s="690">
        <f t="shared" si="827"/>
        <v>0</v>
      </c>
      <c r="P306" s="690">
        <f t="shared" si="827"/>
        <v>0</v>
      </c>
      <c r="Q306" s="690">
        <f t="shared" si="827"/>
        <v>0</v>
      </c>
      <c r="R306" s="690">
        <f t="shared" si="827"/>
        <v>0</v>
      </c>
      <c r="S306" s="690">
        <f t="shared" si="827"/>
        <v>0</v>
      </c>
      <c r="T306" s="918">
        <f>SUM(H306:S306)</f>
        <v>0</v>
      </c>
      <c r="U306" s="690">
        <f t="shared" ref="U306:AF306" si="828">U304*U305</f>
        <v>0</v>
      </c>
      <c r="V306" s="690">
        <f t="shared" si="828"/>
        <v>0</v>
      </c>
      <c r="W306" s="690">
        <f t="shared" si="828"/>
        <v>0</v>
      </c>
      <c r="X306" s="690">
        <f t="shared" si="828"/>
        <v>0</v>
      </c>
      <c r="Y306" s="690">
        <f t="shared" si="828"/>
        <v>0</v>
      </c>
      <c r="Z306" s="690">
        <f t="shared" si="828"/>
        <v>0</v>
      </c>
      <c r="AA306" s="690">
        <f t="shared" si="828"/>
        <v>0</v>
      </c>
      <c r="AB306" s="690">
        <f t="shared" si="828"/>
        <v>0</v>
      </c>
      <c r="AC306" s="690">
        <f t="shared" si="828"/>
        <v>0</v>
      </c>
      <c r="AD306" s="690">
        <f t="shared" si="828"/>
        <v>0</v>
      </c>
      <c r="AE306" s="690">
        <f t="shared" si="828"/>
        <v>0</v>
      </c>
      <c r="AF306" s="690">
        <f t="shared" si="828"/>
        <v>0</v>
      </c>
      <c r="AG306" s="918">
        <f>SUM(U306:AF306)</f>
        <v>0</v>
      </c>
      <c r="AH306" s="902">
        <f t="shared" ref="AH306:AO306" si="829">AH304*AH305</f>
        <v>0</v>
      </c>
      <c r="AI306" s="902">
        <f t="shared" si="829"/>
        <v>197.7885</v>
      </c>
      <c r="AJ306" s="902">
        <f t="shared" si="829"/>
        <v>713.0275425000001</v>
      </c>
      <c r="AK306" s="902">
        <f t="shared" si="829"/>
        <v>1558.4744857500002</v>
      </c>
      <c r="AL306" s="902">
        <f t="shared" si="829"/>
        <v>3148.1184612150009</v>
      </c>
      <c r="AM306" s="902">
        <f t="shared" si="829"/>
        <v>4617.2404097819999</v>
      </c>
      <c r="AN306" s="902">
        <f t="shared" si="829"/>
        <v>5456.7386661060009</v>
      </c>
      <c r="AO306" s="996">
        <f t="shared" si="829"/>
        <v>6296.2369224299991</v>
      </c>
    </row>
    <row r="307" spans="1:42" s="34" customFormat="1" ht="12.4" customHeight="1" x14ac:dyDescent="0.2">
      <c r="A307" s="1"/>
      <c r="B307" s="1"/>
      <c r="C307" s="1"/>
      <c r="D307" s="1"/>
      <c r="E307" s="1"/>
      <c r="F307" s="1"/>
      <c r="G307" s="26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6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268"/>
      <c r="AH307" s="268"/>
      <c r="AI307" s="268"/>
      <c r="AJ307" s="268"/>
      <c r="AK307" s="268"/>
      <c r="AL307" s="268"/>
      <c r="AM307" s="268"/>
      <c r="AN307" s="268"/>
      <c r="AO307" s="999"/>
      <c r="AP307" s="18"/>
    </row>
    <row r="308" spans="1:42" s="18" customFormat="1" ht="13.15" customHeight="1" x14ac:dyDescent="0.2">
      <c r="A308" s="680" t="s">
        <v>253</v>
      </c>
      <c r="B308" s="680"/>
      <c r="C308" s="689">
        <v>0</v>
      </c>
      <c r="D308" s="689">
        <v>0</v>
      </c>
      <c r="E308" s="689">
        <v>0</v>
      </c>
      <c r="F308" s="689">
        <v>0</v>
      </c>
      <c r="G308" s="902">
        <f>F308</f>
        <v>0</v>
      </c>
      <c r="H308" s="689">
        <v>0</v>
      </c>
      <c r="I308" s="689">
        <v>0</v>
      </c>
      <c r="J308" s="689">
        <v>0</v>
      </c>
      <c r="K308" s="689">
        <v>0</v>
      </c>
      <c r="L308" s="689">
        <v>0</v>
      </c>
      <c r="M308" s="689">
        <v>0</v>
      </c>
      <c r="N308" s="689">
        <v>0</v>
      </c>
      <c r="O308" s="689">
        <v>0</v>
      </c>
      <c r="P308" s="689">
        <v>0</v>
      </c>
      <c r="Q308" s="689">
        <v>0</v>
      </c>
      <c r="R308" s="689">
        <v>0</v>
      </c>
      <c r="S308" s="689">
        <v>0</v>
      </c>
      <c r="T308" s="902">
        <f>S308</f>
        <v>0</v>
      </c>
      <c r="U308" s="689">
        <f>S308</f>
        <v>0</v>
      </c>
      <c r="V308" s="689">
        <f t="shared" ref="V308:AG308" si="830">U308</f>
        <v>0</v>
      </c>
      <c r="W308" s="689">
        <f t="shared" si="830"/>
        <v>0</v>
      </c>
      <c r="X308" s="689">
        <f t="shared" si="830"/>
        <v>0</v>
      </c>
      <c r="Y308" s="689">
        <f t="shared" si="830"/>
        <v>0</v>
      </c>
      <c r="Z308" s="689">
        <f t="shared" si="830"/>
        <v>0</v>
      </c>
      <c r="AA308" s="689">
        <f t="shared" si="830"/>
        <v>0</v>
      </c>
      <c r="AB308" s="689">
        <f t="shared" si="830"/>
        <v>0</v>
      </c>
      <c r="AC308" s="689">
        <f t="shared" si="830"/>
        <v>0</v>
      </c>
      <c r="AD308" s="689">
        <f t="shared" si="830"/>
        <v>0</v>
      </c>
      <c r="AE308" s="689">
        <f t="shared" si="830"/>
        <v>0</v>
      </c>
      <c r="AF308" s="689">
        <f t="shared" si="830"/>
        <v>0</v>
      </c>
      <c r="AG308" s="902">
        <f t="shared" si="830"/>
        <v>0</v>
      </c>
      <c r="AH308" s="899">
        <f>AF308</f>
        <v>0</v>
      </c>
      <c r="AI308" s="899">
        <f t="shared" ref="AI308:AO308" si="831">AH308</f>
        <v>0</v>
      </c>
      <c r="AJ308" s="899">
        <f t="shared" si="831"/>
        <v>0</v>
      </c>
      <c r="AK308" s="899">
        <f t="shared" si="831"/>
        <v>0</v>
      </c>
      <c r="AL308" s="899">
        <f t="shared" si="831"/>
        <v>0</v>
      </c>
      <c r="AM308" s="899">
        <f t="shared" si="831"/>
        <v>0</v>
      </c>
      <c r="AN308" s="899">
        <f t="shared" si="831"/>
        <v>0</v>
      </c>
      <c r="AO308" s="1000">
        <f t="shared" si="831"/>
        <v>0</v>
      </c>
    </row>
    <row r="309" spans="1:42" s="18" customFormat="1" ht="13.15" customHeight="1" x14ac:dyDescent="0.2">
      <c r="A309" s="680" t="s">
        <v>252</v>
      </c>
      <c r="B309" s="680"/>
      <c r="C309" s="689">
        <v>0</v>
      </c>
      <c r="D309" s="689">
        <v>0</v>
      </c>
      <c r="E309" s="689">
        <v>0</v>
      </c>
      <c r="F309" s="689">
        <v>0</v>
      </c>
      <c r="G309" s="902">
        <f>SUM(C309:F309)</f>
        <v>0</v>
      </c>
      <c r="H309" s="689">
        <v>0</v>
      </c>
      <c r="I309" s="689">
        <v>0</v>
      </c>
      <c r="J309" s="689">
        <v>0</v>
      </c>
      <c r="K309" s="689">
        <v>0</v>
      </c>
      <c r="L309" s="689">
        <v>0</v>
      </c>
      <c r="M309" s="689">
        <v>0</v>
      </c>
      <c r="N309" s="689">
        <f t="shared" ref="N309:S309" si="832">100/12</f>
        <v>8.3333333333333339</v>
      </c>
      <c r="O309" s="689">
        <f t="shared" si="832"/>
        <v>8.3333333333333339</v>
      </c>
      <c r="P309" s="689">
        <f t="shared" si="832"/>
        <v>8.3333333333333339</v>
      </c>
      <c r="Q309" s="689">
        <f t="shared" si="832"/>
        <v>8.3333333333333339</v>
      </c>
      <c r="R309" s="689">
        <f t="shared" si="832"/>
        <v>8.3333333333333339</v>
      </c>
      <c r="S309" s="689">
        <f t="shared" si="832"/>
        <v>8.3333333333333339</v>
      </c>
      <c r="T309" s="917">
        <f>SUM(H309:S309)</f>
        <v>50.000000000000007</v>
      </c>
      <c r="U309" s="689">
        <f t="shared" ref="U309:AF309" si="833">100/12</f>
        <v>8.3333333333333339</v>
      </c>
      <c r="V309" s="689">
        <f t="shared" si="833"/>
        <v>8.3333333333333339</v>
      </c>
      <c r="W309" s="689">
        <f t="shared" si="833"/>
        <v>8.3333333333333339</v>
      </c>
      <c r="X309" s="689">
        <f t="shared" si="833"/>
        <v>8.3333333333333339</v>
      </c>
      <c r="Y309" s="689">
        <f t="shared" si="833"/>
        <v>8.3333333333333339</v>
      </c>
      <c r="Z309" s="689">
        <f t="shared" si="833"/>
        <v>8.3333333333333339</v>
      </c>
      <c r="AA309" s="689">
        <f t="shared" si="833"/>
        <v>8.3333333333333339</v>
      </c>
      <c r="AB309" s="689">
        <f t="shared" si="833"/>
        <v>8.3333333333333339</v>
      </c>
      <c r="AC309" s="689">
        <f t="shared" si="833"/>
        <v>8.3333333333333339</v>
      </c>
      <c r="AD309" s="689">
        <f t="shared" si="833"/>
        <v>8.3333333333333339</v>
      </c>
      <c r="AE309" s="689">
        <f t="shared" si="833"/>
        <v>8.3333333333333339</v>
      </c>
      <c r="AF309" s="689">
        <f t="shared" si="833"/>
        <v>8.3333333333333339</v>
      </c>
      <c r="AG309" s="917">
        <f>SUM(U309:AF309)</f>
        <v>99.999999999999986</v>
      </c>
      <c r="AH309" s="899">
        <v>100</v>
      </c>
      <c r="AI309" s="899">
        <v>100</v>
      </c>
      <c r="AJ309" s="899">
        <v>100</v>
      </c>
      <c r="AK309" s="899">
        <v>100</v>
      </c>
      <c r="AL309" s="899">
        <v>100</v>
      </c>
      <c r="AM309" s="899">
        <v>100</v>
      </c>
      <c r="AN309" s="899">
        <v>100</v>
      </c>
      <c r="AO309" s="1000">
        <v>100</v>
      </c>
    </row>
    <row r="310" spans="1:42" s="18" customFormat="1" ht="13.15" customHeight="1" x14ac:dyDescent="0.2">
      <c r="A310" s="680" t="s">
        <v>254</v>
      </c>
      <c r="B310" s="680"/>
      <c r="C310" s="690">
        <f t="shared" ref="C310:F310" si="834">C308*C309</f>
        <v>0</v>
      </c>
      <c r="D310" s="690">
        <f t="shared" si="834"/>
        <v>0</v>
      </c>
      <c r="E310" s="690">
        <f t="shared" si="834"/>
        <v>0</v>
      </c>
      <c r="F310" s="690">
        <f t="shared" si="834"/>
        <v>0</v>
      </c>
      <c r="G310" s="902">
        <f>SUM(C310:F310)</f>
        <v>0</v>
      </c>
      <c r="H310" s="690">
        <f t="shared" ref="H310:M310" si="835">H308*H309</f>
        <v>0</v>
      </c>
      <c r="I310" s="690">
        <f t="shared" si="835"/>
        <v>0</v>
      </c>
      <c r="J310" s="690">
        <f t="shared" si="835"/>
        <v>0</v>
      </c>
      <c r="K310" s="690">
        <f t="shared" si="835"/>
        <v>0</v>
      </c>
      <c r="L310" s="690">
        <f t="shared" si="835"/>
        <v>0</v>
      </c>
      <c r="M310" s="690">
        <f t="shared" si="835"/>
        <v>0</v>
      </c>
      <c r="N310" s="690">
        <f t="shared" ref="N310:S310" si="836">N308*N309</f>
        <v>0</v>
      </c>
      <c r="O310" s="690">
        <f t="shared" si="836"/>
        <v>0</v>
      </c>
      <c r="P310" s="690">
        <f t="shared" si="836"/>
        <v>0</v>
      </c>
      <c r="Q310" s="690">
        <f t="shared" si="836"/>
        <v>0</v>
      </c>
      <c r="R310" s="690">
        <f t="shared" si="836"/>
        <v>0</v>
      </c>
      <c r="S310" s="690">
        <f t="shared" si="836"/>
        <v>0</v>
      </c>
      <c r="T310" s="917">
        <f>SUM(H310:S310)</f>
        <v>0</v>
      </c>
      <c r="U310" s="690">
        <f t="shared" ref="U310:AF310" si="837">U308*U309</f>
        <v>0</v>
      </c>
      <c r="V310" s="690">
        <f t="shared" si="837"/>
        <v>0</v>
      </c>
      <c r="W310" s="690">
        <f t="shared" si="837"/>
        <v>0</v>
      </c>
      <c r="X310" s="690">
        <f t="shared" si="837"/>
        <v>0</v>
      </c>
      <c r="Y310" s="690">
        <f t="shared" si="837"/>
        <v>0</v>
      </c>
      <c r="Z310" s="690">
        <f t="shared" si="837"/>
        <v>0</v>
      </c>
      <c r="AA310" s="690">
        <f t="shared" si="837"/>
        <v>0</v>
      </c>
      <c r="AB310" s="690">
        <f t="shared" si="837"/>
        <v>0</v>
      </c>
      <c r="AC310" s="690">
        <f t="shared" si="837"/>
        <v>0</v>
      </c>
      <c r="AD310" s="690">
        <f t="shared" si="837"/>
        <v>0</v>
      </c>
      <c r="AE310" s="690">
        <f t="shared" si="837"/>
        <v>0</v>
      </c>
      <c r="AF310" s="690">
        <f t="shared" si="837"/>
        <v>0</v>
      </c>
      <c r="AG310" s="902">
        <f>SUM(U310:AF310)</f>
        <v>0</v>
      </c>
      <c r="AH310" s="902">
        <f t="shared" ref="AH310:AO310" si="838">AH308*AH309</f>
        <v>0</v>
      </c>
      <c r="AI310" s="902">
        <f t="shared" si="838"/>
        <v>0</v>
      </c>
      <c r="AJ310" s="902">
        <f t="shared" si="838"/>
        <v>0</v>
      </c>
      <c r="AK310" s="902">
        <f t="shared" si="838"/>
        <v>0</v>
      </c>
      <c r="AL310" s="902">
        <f t="shared" si="838"/>
        <v>0</v>
      </c>
      <c r="AM310" s="902">
        <f t="shared" si="838"/>
        <v>0</v>
      </c>
      <c r="AN310" s="902">
        <f t="shared" si="838"/>
        <v>0</v>
      </c>
      <c r="AO310" s="996">
        <f t="shared" si="838"/>
        <v>0</v>
      </c>
    </row>
    <row r="311" spans="1:42" s="18" customFormat="1" ht="13.15" customHeight="1" x14ac:dyDescent="0.2">
      <c r="A311" s="680" t="s">
        <v>249</v>
      </c>
      <c r="B311" s="680"/>
      <c r="C311" s="686">
        <f t="shared" ref="C311:F311" si="839">C305</f>
        <v>3</v>
      </c>
      <c r="D311" s="686">
        <f t="shared" si="839"/>
        <v>3</v>
      </c>
      <c r="E311" s="686">
        <f t="shared" si="839"/>
        <v>3</v>
      </c>
      <c r="F311" s="686">
        <f t="shared" si="839"/>
        <v>3</v>
      </c>
      <c r="G311" s="903">
        <f>F311</f>
        <v>3</v>
      </c>
      <c r="H311" s="686">
        <f t="shared" ref="H311:M311" si="840">H305</f>
        <v>3</v>
      </c>
      <c r="I311" s="686">
        <f t="shared" si="840"/>
        <v>3</v>
      </c>
      <c r="J311" s="686">
        <f t="shared" si="840"/>
        <v>3</v>
      </c>
      <c r="K311" s="686">
        <f t="shared" si="840"/>
        <v>3</v>
      </c>
      <c r="L311" s="686">
        <f t="shared" si="840"/>
        <v>3</v>
      </c>
      <c r="M311" s="686">
        <f t="shared" si="840"/>
        <v>3</v>
      </c>
      <c r="N311" s="686">
        <f t="shared" ref="N311:T311" si="841">M311</f>
        <v>3</v>
      </c>
      <c r="O311" s="686">
        <f t="shared" si="841"/>
        <v>3</v>
      </c>
      <c r="P311" s="686">
        <f t="shared" si="841"/>
        <v>3</v>
      </c>
      <c r="Q311" s="686">
        <f t="shared" si="841"/>
        <v>3</v>
      </c>
      <c r="R311" s="686">
        <f t="shared" si="841"/>
        <v>3</v>
      </c>
      <c r="S311" s="686">
        <f t="shared" si="841"/>
        <v>3</v>
      </c>
      <c r="T311" s="919">
        <f t="shared" si="841"/>
        <v>3</v>
      </c>
      <c r="U311" s="686">
        <f>S311</f>
        <v>3</v>
      </c>
      <c r="V311" s="686">
        <f t="shared" ref="V311:AG311" si="842">U311</f>
        <v>3</v>
      </c>
      <c r="W311" s="686">
        <f t="shared" si="842"/>
        <v>3</v>
      </c>
      <c r="X311" s="686">
        <f t="shared" si="842"/>
        <v>3</v>
      </c>
      <c r="Y311" s="686">
        <f t="shared" si="842"/>
        <v>3</v>
      </c>
      <c r="Z311" s="686">
        <f t="shared" si="842"/>
        <v>3</v>
      </c>
      <c r="AA311" s="686">
        <f t="shared" si="842"/>
        <v>3</v>
      </c>
      <c r="AB311" s="686">
        <f t="shared" si="842"/>
        <v>3</v>
      </c>
      <c r="AC311" s="686">
        <f t="shared" si="842"/>
        <v>3</v>
      </c>
      <c r="AD311" s="686">
        <f t="shared" si="842"/>
        <v>3</v>
      </c>
      <c r="AE311" s="686">
        <f t="shared" si="842"/>
        <v>3</v>
      </c>
      <c r="AF311" s="686">
        <f t="shared" si="842"/>
        <v>3</v>
      </c>
      <c r="AG311" s="919">
        <f t="shared" si="842"/>
        <v>3</v>
      </c>
      <c r="AH311" s="919">
        <f>AF311</f>
        <v>3</v>
      </c>
      <c r="AI311" s="919">
        <f t="shared" ref="AI311:AO311" si="843">AH311</f>
        <v>3</v>
      </c>
      <c r="AJ311" s="919">
        <f t="shared" si="843"/>
        <v>3</v>
      </c>
      <c r="AK311" s="919">
        <f t="shared" si="843"/>
        <v>3</v>
      </c>
      <c r="AL311" s="919">
        <f t="shared" si="843"/>
        <v>3</v>
      </c>
      <c r="AM311" s="919">
        <f t="shared" si="843"/>
        <v>3</v>
      </c>
      <c r="AN311" s="919">
        <f t="shared" si="843"/>
        <v>3</v>
      </c>
      <c r="AO311" s="998">
        <f t="shared" si="843"/>
        <v>3</v>
      </c>
    </row>
    <row r="312" spans="1:42" s="18" customFormat="1" ht="13.15" customHeight="1" x14ac:dyDescent="0.2">
      <c r="A312" s="680" t="s">
        <v>255</v>
      </c>
      <c r="B312" s="680"/>
      <c r="C312" s="690">
        <f t="shared" ref="C312:F312" si="844">C310*C311</f>
        <v>0</v>
      </c>
      <c r="D312" s="690">
        <f t="shared" si="844"/>
        <v>0</v>
      </c>
      <c r="E312" s="690">
        <f t="shared" si="844"/>
        <v>0</v>
      </c>
      <c r="F312" s="690">
        <f t="shared" si="844"/>
        <v>0</v>
      </c>
      <c r="G312" s="902">
        <f>SUM(C312:F312)</f>
        <v>0</v>
      </c>
      <c r="H312" s="690">
        <f t="shared" ref="H312:M312" si="845">H310*H311</f>
        <v>0</v>
      </c>
      <c r="I312" s="690">
        <f t="shared" si="845"/>
        <v>0</v>
      </c>
      <c r="J312" s="690">
        <f t="shared" si="845"/>
        <v>0</v>
      </c>
      <c r="K312" s="690">
        <f t="shared" si="845"/>
        <v>0</v>
      </c>
      <c r="L312" s="690">
        <f t="shared" si="845"/>
        <v>0</v>
      </c>
      <c r="M312" s="690">
        <f t="shared" si="845"/>
        <v>0</v>
      </c>
      <c r="N312" s="690">
        <f t="shared" ref="N312:S312" si="846">N310*N311</f>
        <v>0</v>
      </c>
      <c r="O312" s="690">
        <f t="shared" si="846"/>
        <v>0</v>
      </c>
      <c r="P312" s="690">
        <f t="shared" si="846"/>
        <v>0</v>
      </c>
      <c r="Q312" s="690">
        <f t="shared" si="846"/>
        <v>0</v>
      </c>
      <c r="R312" s="690">
        <f t="shared" si="846"/>
        <v>0</v>
      </c>
      <c r="S312" s="690">
        <f t="shared" si="846"/>
        <v>0</v>
      </c>
      <c r="T312" s="918">
        <f>SUM(H312:S312)</f>
        <v>0</v>
      </c>
      <c r="U312" s="690">
        <f t="shared" ref="U312:AF312" si="847">U310*U311</f>
        <v>0</v>
      </c>
      <c r="V312" s="690">
        <f t="shared" si="847"/>
        <v>0</v>
      </c>
      <c r="W312" s="690">
        <f t="shared" si="847"/>
        <v>0</v>
      </c>
      <c r="X312" s="690">
        <f t="shared" si="847"/>
        <v>0</v>
      </c>
      <c r="Y312" s="690">
        <f t="shared" si="847"/>
        <v>0</v>
      </c>
      <c r="Z312" s="690">
        <f t="shared" si="847"/>
        <v>0</v>
      </c>
      <c r="AA312" s="690">
        <f t="shared" si="847"/>
        <v>0</v>
      </c>
      <c r="AB312" s="690">
        <f t="shared" si="847"/>
        <v>0</v>
      </c>
      <c r="AC312" s="690">
        <f t="shared" si="847"/>
        <v>0</v>
      </c>
      <c r="AD312" s="690">
        <f t="shared" si="847"/>
        <v>0</v>
      </c>
      <c r="AE312" s="690">
        <f t="shared" si="847"/>
        <v>0</v>
      </c>
      <c r="AF312" s="690">
        <f t="shared" si="847"/>
        <v>0</v>
      </c>
      <c r="AG312" s="918">
        <f>SUM(U312:AF312)</f>
        <v>0</v>
      </c>
      <c r="AH312" s="902">
        <f t="shared" ref="AH312:AO312" si="848">AH310*AH311</f>
        <v>0</v>
      </c>
      <c r="AI312" s="902">
        <f t="shared" si="848"/>
        <v>0</v>
      </c>
      <c r="AJ312" s="902">
        <f t="shared" si="848"/>
        <v>0</v>
      </c>
      <c r="AK312" s="902">
        <f t="shared" si="848"/>
        <v>0</v>
      </c>
      <c r="AL312" s="902">
        <f t="shared" si="848"/>
        <v>0</v>
      </c>
      <c r="AM312" s="902">
        <f t="shared" si="848"/>
        <v>0</v>
      </c>
      <c r="AN312" s="902">
        <f t="shared" si="848"/>
        <v>0</v>
      </c>
      <c r="AO312" s="996">
        <f t="shared" si="848"/>
        <v>0</v>
      </c>
    </row>
    <row r="313" spans="1:42" s="18" customFormat="1" ht="13.15" customHeight="1" x14ac:dyDescent="0.2">
      <c r="A313" s="674"/>
      <c r="B313" s="674"/>
      <c r="C313" s="682"/>
      <c r="D313" s="682"/>
      <c r="E313" s="682"/>
      <c r="F313" s="682"/>
      <c r="G313" s="900"/>
      <c r="H313" s="682"/>
      <c r="I313" s="682"/>
      <c r="J313" s="682"/>
      <c r="K313" s="682"/>
      <c r="L313" s="682"/>
      <c r="M313" s="682"/>
      <c r="N313" s="682"/>
      <c r="O313" s="682"/>
      <c r="P313" s="682"/>
      <c r="Q313" s="682"/>
      <c r="R313" s="682"/>
      <c r="S313" s="682"/>
      <c r="T313" s="917"/>
      <c r="U313" s="682"/>
      <c r="V313" s="682"/>
      <c r="W313" s="682"/>
      <c r="X313" s="682"/>
      <c r="Y313" s="682"/>
      <c r="Z313" s="682"/>
      <c r="AA313" s="682"/>
      <c r="AB313" s="682"/>
      <c r="AC313" s="682"/>
      <c r="AD313" s="682"/>
      <c r="AE313" s="682"/>
      <c r="AF313" s="682"/>
      <c r="AG313" s="917"/>
      <c r="AH313" s="917"/>
      <c r="AI313" s="917"/>
      <c r="AJ313" s="917"/>
      <c r="AK313" s="924"/>
      <c r="AL313" s="924"/>
      <c r="AM313" s="924"/>
      <c r="AN313" s="924"/>
      <c r="AO313" s="995"/>
    </row>
    <row r="314" spans="1:42" s="18" customFormat="1" ht="13.15" customHeight="1" x14ac:dyDescent="0.2">
      <c r="A314" s="680" t="s">
        <v>256</v>
      </c>
      <c r="B314" s="680"/>
      <c r="C314" s="689">
        <v>0</v>
      </c>
      <c r="D314" s="689">
        <v>0</v>
      </c>
      <c r="E314" s="689">
        <v>0</v>
      </c>
      <c r="F314" s="689">
        <v>0</v>
      </c>
      <c r="G314" s="902">
        <f>F314</f>
        <v>0</v>
      </c>
      <c r="H314" s="689">
        <v>0</v>
      </c>
      <c r="I314" s="689">
        <v>0</v>
      </c>
      <c r="J314" s="689">
        <v>0</v>
      </c>
      <c r="K314" s="689">
        <v>0</v>
      </c>
      <c r="L314" s="689">
        <v>0</v>
      </c>
      <c r="M314" s="689">
        <v>0</v>
      </c>
      <c r="N314" s="689">
        <v>0</v>
      </c>
      <c r="O314" s="689">
        <v>0</v>
      </c>
      <c r="P314" s="689">
        <v>0</v>
      </c>
      <c r="Q314" s="689">
        <v>0</v>
      </c>
      <c r="R314" s="689">
        <v>0</v>
      </c>
      <c r="S314" s="689">
        <v>0</v>
      </c>
      <c r="T314" s="902">
        <f>S314</f>
        <v>0</v>
      </c>
      <c r="U314" s="689">
        <f>S314</f>
        <v>0</v>
      </c>
      <c r="V314" s="689">
        <f t="shared" ref="V314:AG314" si="849">U314</f>
        <v>0</v>
      </c>
      <c r="W314" s="689">
        <f t="shared" si="849"/>
        <v>0</v>
      </c>
      <c r="X314" s="689">
        <f t="shared" si="849"/>
        <v>0</v>
      </c>
      <c r="Y314" s="689">
        <f t="shared" si="849"/>
        <v>0</v>
      </c>
      <c r="Z314" s="689">
        <f t="shared" si="849"/>
        <v>0</v>
      </c>
      <c r="AA314" s="689">
        <f t="shared" si="849"/>
        <v>0</v>
      </c>
      <c r="AB314" s="689">
        <f t="shared" si="849"/>
        <v>0</v>
      </c>
      <c r="AC314" s="689">
        <f t="shared" si="849"/>
        <v>0</v>
      </c>
      <c r="AD314" s="689">
        <f t="shared" si="849"/>
        <v>0</v>
      </c>
      <c r="AE314" s="689">
        <f t="shared" si="849"/>
        <v>0</v>
      </c>
      <c r="AF314" s="689">
        <f t="shared" si="849"/>
        <v>0</v>
      </c>
      <c r="AG314" s="902">
        <f t="shared" si="849"/>
        <v>0</v>
      </c>
      <c r="AH314" s="899">
        <f>AF314</f>
        <v>0</v>
      </c>
      <c r="AI314" s="899">
        <f t="shared" ref="AI314:AO314" si="850">AH314</f>
        <v>0</v>
      </c>
      <c r="AJ314" s="899">
        <f t="shared" si="850"/>
        <v>0</v>
      </c>
      <c r="AK314" s="899">
        <f t="shared" si="850"/>
        <v>0</v>
      </c>
      <c r="AL314" s="899">
        <f t="shared" si="850"/>
        <v>0</v>
      </c>
      <c r="AM314" s="899">
        <f t="shared" si="850"/>
        <v>0</v>
      </c>
      <c r="AN314" s="899">
        <f t="shared" si="850"/>
        <v>0</v>
      </c>
      <c r="AO314" s="1000">
        <f t="shared" si="850"/>
        <v>0</v>
      </c>
    </row>
    <row r="315" spans="1:42" s="18" customFormat="1" ht="13.15" customHeight="1" x14ac:dyDescent="0.2">
      <c r="A315" s="680" t="s">
        <v>252</v>
      </c>
      <c r="B315" s="680"/>
      <c r="C315" s="689">
        <v>0</v>
      </c>
      <c r="D315" s="689">
        <v>0</v>
      </c>
      <c r="E315" s="689">
        <v>0</v>
      </c>
      <c r="F315" s="689">
        <v>0</v>
      </c>
      <c r="G315" s="902">
        <f>SUM(C315:F315)</f>
        <v>0</v>
      </c>
      <c r="H315" s="689">
        <v>0</v>
      </c>
      <c r="I315" s="689">
        <v>0</v>
      </c>
      <c r="J315" s="689">
        <v>0</v>
      </c>
      <c r="K315" s="689">
        <v>0</v>
      </c>
      <c r="L315" s="689">
        <v>0</v>
      </c>
      <c r="M315" s="689">
        <v>0</v>
      </c>
      <c r="N315" s="689">
        <f t="shared" ref="N315:S315" si="851">300/12</f>
        <v>25</v>
      </c>
      <c r="O315" s="689">
        <f t="shared" si="851"/>
        <v>25</v>
      </c>
      <c r="P315" s="689">
        <f t="shared" si="851"/>
        <v>25</v>
      </c>
      <c r="Q315" s="689">
        <f t="shared" si="851"/>
        <v>25</v>
      </c>
      <c r="R315" s="689">
        <f t="shared" si="851"/>
        <v>25</v>
      </c>
      <c r="S315" s="689">
        <f t="shared" si="851"/>
        <v>25</v>
      </c>
      <c r="T315" s="917">
        <f>SUM(H315:S315)</f>
        <v>150</v>
      </c>
      <c r="U315" s="689">
        <f>300/12</f>
        <v>25</v>
      </c>
      <c r="V315" s="689">
        <f t="shared" ref="V315:AF315" si="852">300/12</f>
        <v>25</v>
      </c>
      <c r="W315" s="689">
        <f t="shared" si="852"/>
        <v>25</v>
      </c>
      <c r="X315" s="689">
        <f t="shared" si="852"/>
        <v>25</v>
      </c>
      <c r="Y315" s="689">
        <f t="shared" si="852"/>
        <v>25</v>
      </c>
      <c r="Z315" s="689">
        <f t="shared" si="852"/>
        <v>25</v>
      </c>
      <c r="AA315" s="689">
        <f t="shared" si="852"/>
        <v>25</v>
      </c>
      <c r="AB315" s="689">
        <f t="shared" si="852"/>
        <v>25</v>
      </c>
      <c r="AC315" s="689">
        <f t="shared" si="852"/>
        <v>25</v>
      </c>
      <c r="AD315" s="689">
        <f t="shared" si="852"/>
        <v>25</v>
      </c>
      <c r="AE315" s="689">
        <f t="shared" si="852"/>
        <v>25</v>
      </c>
      <c r="AF315" s="689">
        <f t="shared" si="852"/>
        <v>25</v>
      </c>
      <c r="AG315" s="917">
        <f>SUM(U315:AF315)</f>
        <v>300</v>
      </c>
      <c r="AH315" s="899">
        <v>300</v>
      </c>
      <c r="AI315" s="899">
        <v>300</v>
      </c>
      <c r="AJ315" s="899">
        <v>300</v>
      </c>
      <c r="AK315" s="899">
        <v>300</v>
      </c>
      <c r="AL315" s="899">
        <v>300</v>
      </c>
      <c r="AM315" s="899">
        <v>300</v>
      </c>
      <c r="AN315" s="899">
        <v>300</v>
      </c>
      <c r="AO315" s="1000">
        <v>300</v>
      </c>
    </row>
    <row r="316" spans="1:42" s="18" customFormat="1" ht="13.15" customHeight="1" x14ac:dyDescent="0.2">
      <c r="A316" s="680" t="s">
        <v>254</v>
      </c>
      <c r="B316" s="680"/>
      <c r="C316" s="690">
        <f t="shared" ref="C316:F316" si="853">C314*C315</f>
        <v>0</v>
      </c>
      <c r="D316" s="690">
        <f t="shared" si="853"/>
        <v>0</v>
      </c>
      <c r="E316" s="690">
        <f t="shared" si="853"/>
        <v>0</v>
      </c>
      <c r="F316" s="690">
        <f t="shared" si="853"/>
        <v>0</v>
      </c>
      <c r="G316" s="902">
        <f>SUM(C316:F316)</f>
        <v>0</v>
      </c>
      <c r="H316" s="690">
        <f t="shared" ref="H316:M316" si="854">H314*H315</f>
        <v>0</v>
      </c>
      <c r="I316" s="690">
        <f t="shared" si="854"/>
        <v>0</v>
      </c>
      <c r="J316" s="690">
        <f t="shared" si="854"/>
        <v>0</v>
      </c>
      <c r="K316" s="690">
        <f t="shared" si="854"/>
        <v>0</v>
      </c>
      <c r="L316" s="690">
        <f t="shared" si="854"/>
        <v>0</v>
      </c>
      <c r="M316" s="690">
        <f t="shared" si="854"/>
        <v>0</v>
      </c>
      <c r="N316" s="690">
        <f t="shared" ref="N316:S316" si="855">N314*N315</f>
        <v>0</v>
      </c>
      <c r="O316" s="690">
        <f t="shared" si="855"/>
        <v>0</v>
      </c>
      <c r="P316" s="690">
        <f t="shared" si="855"/>
        <v>0</v>
      </c>
      <c r="Q316" s="690">
        <f t="shared" si="855"/>
        <v>0</v>
      </c>
      <c r="R316" s="690">
        <f t="shared" si="855"/>
        <v>0</v>
      </c>
      <c r="S316" s="690">
        <f t="shared" si="855"/>
        <v>0</v>
      </c>
      <c r="T316" s="917">
        <f>SUM(H316:S316)</f>
        <v>0</v>
      </c>
      <c r="U316" s="690">
        <f t="shared" ref="U316:AF316" si="856">U314*U315</f>
        <v>0</v>
      </c>
      <c r="V316" s="690">
        <f t="shared" si="856"/>
        <v>0</v>
      </c>
      <c r="W316" s="690">
        <f t="shared" si="856"/>
        <v>0</v>
      </c>
      <c r="X316" s="690">
        <f t="shared" si="856"/>
        <v>0</v>
      </c>
      <c r="Y316" s="690">
        <f t="shared" si="856"/>
        <v>0</v>
      </c>
      <c r="Z316" s="690">
        <f t="shared" si="856"/>
        <v>0</v>
      </c>
      <c r="AA316" s="690">
        <f t="shared" si="856"/>
        <v>0</v>
      </c>
      <c r="AB316" s="690">
        <f t="shared" si="856"/>
        <v>0</v>
      </c>
      <c r="AC316" s="690">
        <f t="shared" si="856"/>
        <v>0</v>
      </c>
      <c r="AD316" s="690">
        <f t="shared" si="856"/>
        <v>0</v>
      </c>
      <c r="AE316" s="690">
        <f t="shared" si="856"/>
        <v>0</v>
      </c>
      <c r="AF316" s="690">
        <f t="shared" si="856"/>
        <v>0</v>
      </c>
      <c r="AG316" s="917">
        <f>SUM(U316:AF316)</f>
        <v>0</v>
      </c>
      <c r="AH316" s="902">
        <f t="shared" ref="AH316:AO316" si="857">AH314*AH315</f>
        <v>0</v>
      </c>
      <c r="AI316" s="902">
        <f t="shared" si="857"/>
        <v>0</v>
      </c>
      <c r="AJ316" s="902">
        <f t="shared" si="857"/>
        <v>0</v>
      </c>
      <c r="AK316" s="902">
        <f t="shared" si="857"/>
        <v>0</v>
      </c>
      <c r="AL316" s="902">
        <f t="shared" si="857"/>
        <v>0</v>
      </c>
      <c r="AM316" s="902">
        <f t="shared" si="857"/>
        <v>0</v>
      </c>
      <c r="AN316" s="902">
        <f t="shared" si="857"/>
        <v>0</v>
      </c>
      <c r="AO316" s="996">
        <f t="shared" si="857"/>
        <v>0</v>
      </c>
    </row>
    <row r="317" spans="1:42" s="18" customFormat="1" ht="13.15" customHeight="1" x14ac:dyDescent="0.2">
      <c r="A317" s="680" t="s">
        <v>249</v>
      </c>
      <c r="B317" s="680"/>
      <c r="C317" s="686">
        <f t="shared" ref="C317:F317" si="858">C305</f>
        <v>3</v>
      </c>
      <c r="D317" s="686">
        <f t="shared" si="858"/>
        <v>3</v>
      </c>
      <c r="E317" s="686">
        <f t="shared" si="858"/>
        <v>3</v>
      </c>
      <c r="F317" s="686">
        <f t="shared" si="858"/>
        <v>3</v>
      </c>
      <c r="G317" s="903">
        <f>F317</f>
        <v>3</v>
      </c>
      <c r="H317" s="686">
        <f t="shared" ref="H317:M317" si="859">H305</f>
        <v>3</v>
      </c>
      <c r="I317" s="686">
        <f t="shared" si="859"/>
        <v>3</v>
      </c>
      <c r="J317" s="686">
        <f t="shared" si="859"/>
        <v>3</v>
      </c>
      <c r="K317" s="686">
        <f t="shared" si="859"/>
        <v>3</v>
      </c>
      <c r="L317" s="686">
        <f t="shared" si="859"/>
        <v>3</v>
      </c>
      <c r="M317" s="686">
        <f t="shared" si="859"/>
        <v>3</v>
      </c>
      <c r="N317" s="686">
        <f t="shared" ref="N317:T317" si="860">M317</f>
        <v>3</v>
      </c>
      <c r="O317" s="686">
        <f t="shared" si="860"/>
        <v>3</v>
      </c>
      <c r="P317" s="686">
        <f t="shared" si="860"/>
        <v>3</v>
      </c>
      <c r="Q317" s="686">
        <f t="shared" si="860"/>
        <v>3</v>
      </c>
      <c r="R317" s="686">
        <f t="shared" si="860"/>
        <v>3</v>
      </c>
      <c r="S317" s="686">
        <f t="shared" si="860"/>
        <v>3</v>
      </c>
      <c r="T317" s="919">
        <f t="shared" si="860"/>
        <v>3</v>
      </c>
      <c r="U317" s="686">
        <f>S317</f>
        <v>3</v>
      </c>
      <c r="V317" s="686">
        <f t="shared" ref="V317:AG317" si="861">U317</f>
        <v>3</v>
      </c>
      <c r="W317" s="686">
        <f t="shared" si="861"/>
        <v>3</v>
      </c>
      <c r="X317" s="686">
        <f t="shared" si="861"/>
        <v>3</v>
      </c>
      <c r="Y317" s="686">
        <f t="shared" si="861"/>
        <v>3</v>
      </c>
      <c r="Z317" s="686">
        <f t="shared" si="861"/>
        <v>3</v>
      </c>
      <c r="AA317" s="686">
        <f t="shared" si="861"/>
        <v>3</v>
      </c>
      <c r="AB317" s="686">
        <f t="shared" si="861"/>
        <v>3</v>
      </c>
      <c r="AC317" s="686">
        <f t="shared" si="861"/>
        <v>3</v>
      </c>
      <c r="AD317" s="686">
        <f t="shared" si="861"/>
        <v>3</v>
      </c>
      <c r="AE317" s="686">
        <f t="shared" si="861"/>
        <v>3</v>
      </c>
      <c r="AF317" s="686">
        <f t="shared" si="861"/>
        <v>3</v>
      </c>
      <c r="AG317" s="919">
        <f t="shared" si="861"/>
        <v>3</v>
      </c>
      <c r="AH317" s="919">
        <f>AF317</f>
        <v>3</v>
      </c>
      <c r="AI317" s="919">
        <f t="shared" ref="AI317:AO317" si="862">AH317</f>
        <v>3</v>
      </c>
      <c r="AJ317" s="919">
        <f t="shared" si="862"/>
        <v>3</v>
      </c>
      <c r="AK317" s="919">
        <f t="shared" si="862"/>
        <v>3</v>
      </c>
      <c r="AL317" s="919">
        <f t="shared" si="862"/>
        <v>3</v>
      </c>
      <c r="AM317" s="919">
        <f t="shared" si="862"/>
        <v>3</v>
      </c>
      <c r="AN317" s="919">
        <f t="shared" si="862"/>
        <v>3</v>
      </c>
      <c r="AO317" s="998">
        <f t="shared" si="862"/>
        <v>3</v>
      </c>
    </row>
    <row r="318" spans="1:42" s="18" customFormat="1" ht="13.15" customHeight="1" x14ac:dyDescent="0.2">
      <c r="A318" s="680" t="s">
        <v>255</v>
      </c>
      <c r="B318" s="680"/>
      <c r="C318" s="690">
        <f t="shared" ref="C318:F318" si="863">C316*C317</f>
        <v>0</v>
      </c>
      <c r="D318" s="690">
        <f t="shared" si="863"/>
        <v>0</v>
      </c>
      <c r="E318" s="690">
        <f t="shared" si="863"/>
        <v>0</v>
      </c>
      <c r="F318" s="690">
        <f t="shared" si="863"/>
        <v>0</v>
      </c>
      <c r="G318" s="902">
        <f>SUM(C318:F318)</f>
        <v>0</v>
      </c>
      <c r="H318" s="690">
        <f t="shared" ref="H318:M318" si="864">H316*H317</f>
        <v>0</v>
      </c>
      <c r="I318" s="690">
        <f t="shared" si="864"/>
        <v>0</v>
      </c>
      <c r="J318" s="690">
        <f t="shared" si="864"/>
        <v>0</v>
      </c>
      <c r="K318" s="690">
        <f t="shared" si="864"/>
        <v>0</v>
      </c>
      <c r="L318" s="690">
        <f t="shared" si="864"/>
        <v>0</v>
      </c>
      <c r="M318" s="690">
        <f t="shared" si="864"/>
        <v>0</v>
      </c>
      <c r="N318" s="690">
        <f t="shared" ref="N318:S318" si="865">N316*N317</f>
        <v>0</v>
      </c>
      <c r="O318" s="690">
        <f t="shared" si="865"/>
        <v>0</v>
      </c>
      <c r="P318" s="690">
        <f t="shared" si="865"/>
        <v>0</v>
      </c>
      <c r="Q318" s="690">
        <f t="shared" si="865"/>
        <v>0</v>
      </c>
      <c r="R318" s="690">
        <f t="shared" si="865"/>
        <v>0</v>
      </c>
      <c r="S318" s="690">
        <f t="shared" si="865"/>
        <v>0</v>
      </c>
      <c r="T318" s="918">
        <f>SUM(H318:S318)</f>
        <v>0</v>
      </c>
      <c r="U318" s="690">
        <f t="shared" ref="U318:AF318" si="866">U316*U317</f>
        <v>0</v>
      </c>
      <c r="V318" s="690">
        <f t="shared" si="866"/>
        <v>0</v>
      </c>
      <c r="W318" s="690">
        <f t="shared" si="866"/>
        <v>0</v>
      </c>
      <c r="X318" s="690">
        <f t="shared" si="866"/>
        <v>0</v>
      </c>
      <c r="Y318" s="690">
        <f t="shared" si="866"/>
        <v>0</v>
      </c>
      <c r="Z318" s="690">
        <f t="shared" si="866"/>
        <v>0</v>
      </c>
      <c r="AA318" s="690">
        <f t="shared" si="866"/>
        <v>0</v>
      </c>
      <c r="AB318" s="690">
        <f t="shared" si="866"/>
        <v>0</v>
      </c>
      <c r="AC318" s="690">
        <f t="shared" si="866"/>
        <v>0</v>
      </c>
      <c r="AD318" s="690">
        <f t="shared" si="866"/>
        <v>0</v>
      </c>
      <c r="AE318" s="690">
        <f t="shared" si="866"/>
        <v>0</v>
      </c>
      <c r="AF318" s="690">
        <f t="shared" si="866"/>
        <v>0</v>
      </c>
      <c r="AG318" s="918">
        <f>SUM(U318:AF318)</f>
        <v>0</v>
      </c>
      <c r="AH318" s="902">
        <f t="shared" ref="AH318:AO318" si="867">AH316*AH317</f>
        <v>0</v>
      </c>
      <c r="AI318" s="902">
        <f t="shared" si="867"/>
        <v>0</v>
      </c>
      <c r="AJ318" s="902">
        <f t="shared" si="867"/>
        <v>0</v>
      </c>
      <c r="AK318" s="902">
        <f t="shared" si="867"/>
        <v>0</v>
      </c>
      <c r="AL318" s="902">
        <f t="shared" si="867"/>
        <v>0</v>
      </c>
      <c r="AM318" s="902">
        <f t="shared" si="867"/>
        <v>0</v>
      </c>
      <c r="AN318" s="902">
        <f t="shared" si="867"/>
        <v>0</v>
      </c>
      <c r="AO318" s="996">
        <f t="shared" si="867"/>
        <v>0</v>
      </c>
    </row>
    <row r="319" spans="1:42" s="18" customFormat="1" ht="13.15" customHeight="1" x14ac:dyDescent="0.2">
      <c r="A319" s="680"/>
      <c r="B319" s="680"/>
      <c r="C319" s="682"/>
      <c r="D319" s="682"/>
      <c r="E319" s="682"/>
      <c r="F319" s="682"/>
      <c r="G319" s="900"/>
      <c r="H319" s="682"/>
      <c r="I319" s="682"/>
      <c r="J319" s="682"/>
      <c r="K319" s="682"/>
      <c r="L319" s="682"/>
      <c r="M319" s="682"/>
      <c r="N319" s="682"/>
      <c r="O319" s="682"/>
      <c r="P319" s="682"/>
      <c r="Q319" s="682"/>
      <c r="R319" s="682"/>
      <c r="S319" s="682"/>
      <c r="T319" s="917"/>
      <c r="U319" s="682"/>
      <c r="V319" s="682"/>
      <c r="W319" s="682"/>
      <c r="X319" s="682"/>
      <c r="Y319" s="682"/>
      <c r="Z319" s="682"/>
      <c r="AA319" s="682"/>
      <c r="AB319" s="682"/>
      <c r="AC319" s="682"/>
      <c r="AD319" s="682"/>
      <c r="AE319" s="682"/>
      <c r="AF319" s="682"/>
      <c r="AG319" s="917"/>
      <c r="AH319" s="917"/>
      <c r="AI319" s="917"/>
      <c r="AJ319" s="917"/>
      <c r="AK319" s="924"/>
      <c r="AL319" s="924"/>
      <c r="AM319" s="924"/>
      <c r="AN319" s="924"/>
      <c r="AO319" s="995"/>
    </row>
    <row r="320" spans="1:42" s="277" customFormat="1" ht="13.15" customHeight="1" x14ac:dyDescent="0.2">
      <c r="A320" s="676" t="s">
        <v>257</v>
      </c>
      <c r="B320" s="676"/>
      <c r="C320" s="694">
        <f t="shared" ref="C320:F320" si="868">C306+C312+C318</f>
        <v>0</v>
      </c>
      <c r="D320" s="694">
        <f t="shared" si="868"/>
        <v>0</v>
      </c>
      <c r="E320" s="694">
        <f t="shared" si="868"/>
        <v>0</v>
      </c>
      <c r="F320" s="694">
        <f t="shared" si="868"/>
        <v>0</v>
      </c>
      <c r="G320" s="904">
        <f>SUM(C320:F320)</f>
        <v>0</v>
      </c>
      <c r="H320" s="694">
        <f t="shared" ref="H320:M320" si="869">H306+H312+H318</f>
        <v>0</v>
      </c>
      <c r="I320" s="694">
        <f t="shared" si="869"/>
        <v>0</v>
      </c>
      <c r="J320" s="694">
        <f t="shared" si="869"/>
        <v>0</v>
      </c>
      <c r="K320" s="694">
        <f t="shared" si="869"/>
        <v>0</v>
      </c>
      <c r="L320" s="694">
        <f t="shared" si="869"/>
        <v>0</v>
      </c>
      <c r="M320" s="694">
        <f t="shared" si="869"/>
        <v>0</v>
      </c>
      <c r="N320" s="694">
        <f t="shared" ref="N320:S320" si="870">N306+N312+N318</f>
        <v>0</v>
      </c>
      <c r="O320" s="694">
        <f t="shared" si="870"/>
        <v>0</v>
      </c>
      <c r="P320" s="694">
        <f t="shared" si="870"/>
        <v>0</v>
      </c>
      <c r="Q320" s="694">
        <f t="shared" si="870"/>
        <v>0</v>
      </c>
      <c r="R320" s="694">
        <f t="shared" si="870"/>
        <v>0</v>
      </c>
      <c r="S320" s="694">
        <f t="shared" si="870"/>
        <v>0</v>
      </c>
      <c r="T320" s="915">
        <f>SUM(H320:S320)</f>
        <v>0</v>
      </c>
      <c r="U320" s="694">
        <f t="shared" ref="U320:AF320" si="871">U306+U312+U318</f>
        <v>0</v>
      </c>
      <c r="V320" s="694">
        <f t="shared" si="871"/>
        <v>0</v>
      </c>
      <c r="W320" s="694">
        <f t="shared" si="871"/>
        <v>0</v>
      </c>
      <c r="X320" s="694">
        <f t="shared" si="871"/>
        <v>0</v>
      </c>
      <c r="Y320" s="694">
        <f t="shared" si="871"/>
        <v>0</v>
      </c>
      <c r="Z320" s="694">
        <f t="shared" si="871"/>
        <v>0</v>
      </c>
      <c r="AA320" s="694">
        <f t="shared" si="871"/>
        <v>0</v>
      </c>
      <c r="AB320" s="694">
        <f t="shared" si="871"/>
        <v>0</v>
      </c>
      <c r="AC320" s="694">
        <f t="shared" si="871"/>
        <v>0</v>
      </c>
      <c r="AD320" s="694">
        <f t="shared" si="871"/>
        <v>0</v>
      </c>
      <c r="AE320" s="694">
        <f t="shared" si="871"/>
        <v>0</v>
      </c>
      <c r="AF320" s="694">
        <f t="shared" si="871"/>
        <v>0</v>
      </c>
      <c r="AG320" s="904">
        <f>SUM(U320:AF320)</f>
        <v>0</v>
      </c>
      <c r="AH320" s="904">
        <f t="shared" ref="AH320:AO320" si="872">AH306+AH312+AH318</f>
        <v>0</v>
      </c>
      <c r="AI320" s="904">
        <f t="shared" si="872"/>
        <v>197.7885</v>
      </c>
      <c r="AJ320" s="904">
        <f t="shared" si="872"/>
        <v>713.0275425000001</v>
      </c>
      <c r="AK320" s="904">
        <f t="shared" si="872"/>
        <v>1558.4744857500002</v>
      </c>
      <c r="AL320" s="904">
        <f t="shared" si="872"/>
        <v>3148.1184612150009</v>
      </c>
      <c r="AM320" s="904">
        <f t="shared" si="872"/>
        <v>4617.2404097819999</v>
      </c>
      <c r="AN320" s="904">
        <f t="shared" si="872"/>
        <v>5456.7386661060009</v>
      </c>
      <c r="AO320" s="1001">
        <f t="shared" si="872"/>
        <v>6296.2369224299991</v>
      </c>
    </row>
    <row r="321" spans="1:42" s="18" customFormat="1" ht="13.15" customHeight="1" x14ac:dyDescent="0.2">
      <c r="A321" s="680"/>
      <c r="B321" s="680"/>
      <c r="C321" s="682"/>
      <c r="D321" s="682"/>
      <c r="E321" s="682"/>
      <c r="F321" s="682"/>
      <c r="G321" s="900"/>
      <c r="H321" s="682"/>
      <c r="I321" s="682"/>
      <c r="J321" s="682"/>
      <c r="K321" s="682"/>
      <c r="L321" s="682"/>
      <c r="M321" s="682"/>
      <c r="N321" s="682"/>
      <c r="O321" s="682"/>
      <c r="P321" s="682"/>
      <c r="Q321" s="682"/>
      <c r="R321" s="682"/>
      <c r="S321" s="682"/>
      <c r="T321" s="917"/>
      <c r="U321" s="682"/>
      <c r="V321" s="682"/>
      <c r="W321" s="682"/>
      <c r="X321" s="682"/>
      <c r="Y321" s="682"/>
      <c r="Z321" s="682"/>
      <c r="AA321" s="682"/>
      <c r="AB321" s="682"/>
      <c r="AC321" s="682"/>
      <c r="AD321" s="682"/>
      <c r="AE321" s="682"/>
      <c r="AF321" s="682"/>
      <c r="AG321" s="917"/>
      <c r="AH321" s="917"/>
      <c r="AI321" s="917"/>
      <c r="AJ321" s="917"/>
      <c r="AK321" s="924"/>
      <c r="AL321" s="924"/>
      <c r="AM321" s="924"/>
      <c r="AN321" s="924"/>
      <c r="AO321" s="995"/>
    </row>
    <row r="322" spans="1:42" s="18" customFormat="1" ht="13.15" customHeight="1" x14ac:dyDescent="0.2">
      <c r="A322" s="680" t="s">
        <v>258</v>
      </c>
      <c r="B322" s="680"/>
      <c r="C322" s="767">
        <f t="shared" ref="C322:F322" si="873">C241</f>
        <v>300</v>
      </c>
      <c r="D322" s="767">
        <f t="shared" si="873"/>
        <v>300</v>
      </c>
      <c r="E322" s="767">
        <f t="shared" si="873"/>
        <v>300</v>
      </c>
      <c r="F322" s="767">
        <f t="shared" si="873"/>
        <v>300</v>
      </c>
      <c r="G322" s="905">
        <f>F322</f>
        <v>300</v>
      </c>
      <c r="H322" s="767">
        <f t="shared" ref="H322:M322" si="874">H241</f>
        <v>300</v>
      </c>
      <c r="I322" s="767">
        <f t="shared" si="874"/>
        <v>300</v>
      </c>
      <c r="J322" s="767">
        <f t="shared" si="874"/>
        <v>300</v>
      </c>
      <c r="K322" s="767">
        <f t="shared" si="874"/>
        <v>300</v>
      </c>
      <c r="L322" s="767">
        <f t="shared" si="874"/>
        <v>300</v>
      </c>
      <c r="M322" s="767">
        <f t="shared" si="874"/>
        <v>300</v>
      </c>
      <c r="N322" s="767">
        <f t="shared" ref="N322:AO322" si="875">N$25</f>
        <v>300</v>
      </c>
      <c r="O322" s="767">
        <f t="shared" si="875"/>
        <v>300</v>
      </c>
      <c r="P322" s="767">
        <f t="shared" si="875"/>
        <v>300</v>
      </c>
      <c r="Q322" s="767">
        <f t="shared" si="875"/>
        <v>300</v>
      </c>
      <c r="R322" s="767">
        <f t="shared" si="875"/>
        <v>300</v>
      </c>
      <c r="S322" s="767">
        <f t="shared" si="875"/>
        <v>300</v>
      </c>
      <c r="T322" s="905">
        <f t="shared" si="875"/>
        <v>300</v>
      </c>
      <c r="U322" s="767">
        <f t="shared" si="875"/>
        <v>300</v>
      </c>
      <c r="V322" s="767">
        <f t="shared" si="875"/>
        <v>300</v>
      </c>
      <c r="W322" s="767">
        <f t="shared" si="875"/>
        <v>300</v>
      </c>
      <c r="X322" s="767">
        <f t="shared" si="875"/>
        <v>300</v>
      </c>
      <c r="Y322" s="767">
        <f t="shared" si="875"/>
        <v>300</v>
      </c>
      <c r="Z322" s="767">
        <f t="shared" si="875"/>
        <v>300</v>
      </c>
      <c r="AA322" s="767">
        <f t="shared" si="875"/>
        <v>300</v>
      </c>
      <c r="AB322" s="767">
        <f t="shared" si="875"/>
        <v>300</v>
      </c>
      <c r="AC322" s="767">
        <f t="shared" si="875"/>
        <v>300</v>
      </c>
      <c r="AD322" s="767">
        <f t="shared" si="875"/>
        <v>300</v>
      </c>
      <c r="AE322" s="767">
        <f t="shared" si="875"/>
        <v>300</v>
      </c>
      <c r="AF322" s="767">
        <f t="shared" si="875"/>
        <v>300</v>
      </c>
      <c r="AG322" s="905">
        <f t="shared" si="875"/>
        <v>300</v>
      </c>
      <c r="AH322" s="905">
        <f t="shared" si="875"/>
        <v>300</v>
      </c>
      <c r="AI322" s="905">
        <f t="shared" si="875"/>
        <v>300</v>
      </c>
      <c r="AJ322" s="905">
        <f t="shared" si="875"/>
        <v>300</v>
      </c>
      <c r="AK322" s="905">
        <f t="shared" si="875"/>
        <v>300</v>
      </c>
      <c r="AL322" s="905">
        <f t="shared" si="875"/>
        <v>300</v>
      </c>
      <c r="AM322" s="905">
        <f t="shared" si="875"/>
        <v>300</v>
      </c>
      <c r="AN322" s="905">
        <f t="shared" si="875"/>
        <v>300</v>
      </c>
      <c r="AO322" s="1002">
        <f t="shared" si="875"/>
        <v>300</v>
      </c>
      <c r="AP322" s="988"/>
    </row>
    <row r="323" spans="1:42" s="18" customFormat="1" ht="13.15" customHeight="1" x14ac:dyDescent="0.2">
      <c r="A323" s="680"/>
      <c r="B323" s="680"/>
      <c r="C323" s="682"/>
      <c r="D323" s="682"/>
      <c r="E323" s="682"/>
      <c r="F323" s="682"/>
      <c r="G323" s="900"/>
      <c r="H323" s="682"/>
      <c r="I323" s="682"/>
      <c r="J323" s="682"/>
      <c r="K323" s="682"/>
      <c r="L323" s="682"/>
      <c r="M323" s="682"/>
      <c r="N323" s="682"/>
      <c r="O323" s="682"/>
      <c r="P323" s="682"/>
      <c r="Q323" s="682"/>
      <c r="R323" s="682"/>
      <c r="S323" s="682"/>
      <c r="T323" s="917"/>
      <c r="U323" s="682"/>
      <c r="V323" s="682"/>
      <c r="W323" s="682"/>
      <c r="X323" s="682"/>
      <c r="Y323" s="682"/>
      <c r="Z323" s="682"/>
      <c r="AA323" s="682"/>
      <c r="AB323" s="682"/>
      <c r="AC323" s="682"/>
      <c r="AD323" s="682"/>
      <c r="AE323" s="682"/>
      <c r="AF323" s="682"/>
      <c r="AG323" s="917"/>
      <c r="AH323" s="917"/>
      <c r="AI323" s="917"/>
      <c r="AJ323" s="917"/>
      <c r="AK323" s="924"/>
      <c r="AL323" s="924"/>
      <c r="AM323" s="924"/>
      <c r="AN323" s="924"/>
      <c r="AO323" s="995"/>
    </row>
    <row r="324" spans="1:42" s="794" customFormat="1" ht="13.15" customHeight="1" x14ac:dyDescent="0.2">
      <c r="A324" s="763" t="s">
        <v>424</v>
      </c>
      <c r="B324" s="763"/>
      <c r="C324" s="765">
        <f t="shared" ref="C324:F324" si="876">C320*C322</f>
        <v>0</v>
      </c>
      <c r="D324" s="765">
        <f t="shared" si="876"/>
        <v>0</v>
      </c>
      <c r="E324" s="765">
        <f t="shared" si="876"/>
        <v>0</v>
      </c>
      <c r="F324" s="765">
        <f t="shared" si="876"/>
        <v>0</v>
      </c>
      <c r="G324" s="906">
        <f>SUM(C324:F324)</f>
        <v>0</v>
      </c>
      <c r="H324" s="765">
        <f t="shared" ref="H324:M324" si="877">H320*H322</f>
        <v>0</v>
      </c>
      <c r="I324" s="765">
        <f t="shared" si="877"/>
        <v>0</v>
      </c>
      <c r="J324" s="765">
        <f t="shared" si="877"/>
        <v>0</v>
      </c>
      <c r="K324" s="765">
        <f t="shared" si="877"/>
        <v>0</v>
      </c>
      <c r="L324" s="765">
        <f t="shared" si="877"/>
        <v>0</v>
      </c>
      <c r="M324" s="765">
        <f t="shared" si="877"/>
        <v>0</v>
      </c>
      <c r="N324" s="765">
        <f t="shared" ref="N324:S324" si="878">N320*N322</f>
        <v>0</v>
      </c>
      <c r="O324" s="765">
        <f t="shared" si="878"/>
        <v>0</v>
      </c>
      <c r="P324" s="765">
        <f t="shared" si="878"/>
        <v>0</v>
      </c>
      <c r="Q324" s="765">
        <f t="shared" si="878"/>
        <v>0</v>
      </c>
      <c r="R324" s="765">
        <f t="shared" si="878"/>
        <v>0</v>
      </c>
      <c r="S324" s="765">
        <f t="shared" si="878"/>
        <v>0</v>
      </c>
      <c r="T324" s="906">
        <f>SUM(H324:S324)</f>
        <v>0</v>
      </c>
      <c r="U324" s="765">
        <f>U320*U322</f>
        <v>0</v>
      </c>
      <c r="V324" s="765">
        <f t="shared" ref="V324:AF324" si="879">V320*V322</f>
        <v>0</v>
      </c>
      <c r="W324" s="765">
        <f t="shared" si="879"/>
        <v>0</v>
      </c>
      <c r="X324" s="765">
        <f t="shared" si="879"/>
        <v>0</v>
      </c>
      <c r="Y324" s="765">
        <f t="shared" si="879"/>
        <v>0</v>
      </c>
      <c r="Z324" s="765">
        <f t="shared" si="879"/>
        <v>0</v>
      </c>
      <c r="AA324" s="765">
        <f t="shared" si="879"/>
        <v>0</v>
      </c>
      <c r="AB324" s="765">
        <f t="shared" si="879"/>
        <v>0</v>
      </c>
      <c r="AC324" s="765">
        <f t="shared" si="879"/>
        <v>0</v>
      </c>
      <c r="AD324" s="765">
        <f t="shared" si="879"/>
        <v>0</v>
      </c>
      <c r="AE324" s="765">
        <f t="shared" si="879"/>
        <v>0</v>
      </c>
      <c r="AF324" s="765">
        <f t="shared" si="879"/>
        <v>0</v>
      </c>
      <c r="AG324" s="906">
        <f>SUM(U324:AF324)</f>
        <v>0</v>
      </c>
      <c r="AH324" s="906">
        <f t="shared" ref="AH324:AO324" si="880">AH320*AH322</f>
        <v>0</v>
      </c>
      <c r="AI324" s="906">
        <f t="shared" si="880"/>
        <v>59336.55</v>
      </c>
      <c r="AJ324" s="906">
        <f t="shared" si="880"/>
        <v>213908.26275000002</v>
      </c>
      <c r="AK324" s="906">
        <f t="shared" si="880"/>
        <v>467542.34572500008</v>
      </c>
      <c r="AL324" s="906">
        <f t="shared" si="880"/>
        <v>944435.53836450027</v>
      </c>
      <c r="AM324" s="906">
        <f t="shared" si="880"/>
        <v>1385172.1229345999</v>
      </c>
      <c r="AN324" s="906">
        <f t="shared" si="880"/>
        <v>1637021.5998318002</v>
      </c>
      <c r="AO324" s="1003">
        <f t="shared" si="880"/>
        <v>1888871.0767289998</v>
      </c>
      <c r="AP324" s="277"/>
    </row>
    <row r="325" spans="1:42" s="18" customFormat="1" ht="13.15" customHeight="1" x14ac:dyDescent="0.2">
      <c r="A325" s="680"/>
      <c r="B325" s="680"/>
      <c r="C325" s="680"/>
      <c r="D325" s="680"/>
      <c r="E325" s="680"/>
      <c r="F325" s="680"/>
      <c r="G325" s="900"/>
      <c r="H325" s="682"/>
      <c r="I325" s="682"/>
      <c r="J325" s="682"/>
      <c r="K325" s="682"/>
      <c r="L325" s="682"/>
      <c r="M325" s="682"/>
      <c r="N325" s="682"/>
      <c r="O325" s="682"/>
      <c r="P325" s="682"/>
      <c r="Q325" s="682"/>
      <c r="R325" s="682"/>
      <c r="S325" s="682"/>
      <c r="T325" s="917"/>
      <c r="U325" s="682"/>
      <c r="V325" s="682"/>
      <c r="W325" s="682"/>
      <c r="X325" s="682"/>
      <c r="Y325" s="682"/>
      <c r="Z325" s="682"/>
      <c r="AA325" s="682"/>
      <c r="AB325" s="682"/>
      <c r="AC325" s="682"/>
      <c r="AD325" s="682"/>
      <c r="AE325" s="682"/>
      <c r="AF325" s="682"/>
      <c r="AG325" s="917"/>
      <c r="AH325" s="917"/>
      <c r="AI325" s="917"/>
      <c r="AJ325" s="917"/>
      <c r="AK325" s="924"/>
      <c r="AL325" s="924"/>
      <c r="AM325" s="924"/>
      <c r="AN325" s="924"/>
      <c r="AO325" s="995"/>
    </row>
    <row r="326" spans="1:42" s="18" customFormat="1" ht="13.15" customHeight="1" x14ac:dyDescent="0.2">
      <c r="A326" s="680"/>
      <c r="B326" s="680"/>
      <c r="C326" s="680"/>
      <c r="D326" s="680"/>
      <c r="E326" s="680"/>
      <c r="F326" s="680"/>
      <c r="G326" s="900"/>
      <c r="H326" s="682"/>
      <c r="I326" s="682"/>
      <c r="J326" s="682"/>
      <c r="K326" s="682"/>
      <c r="L326" s="682"/>
      <c r="M326" s="682"/>
      <c r="N326" s="682"/>
      <c r="O326" s="682"/>
      <c r="P326" s="682"/>
      <c r="Q326" s="682"/>
      <c r="R326" s="682"/>
      <c r="S326" s="682"/>
      <c r="T326" s="917"/>
      <c r="U326" s="682"/>
      <c r="V326" s="682"/>
      <c r="W326" s="682"/>
      <c r="X326" s="682"/>
      <c r="Y326" s="682"/>
      <c r="Z326" s="682"/>
      <c r="AA326" s="682"/>
      <c r="AB326" s="682"/>
      <c r="AC326" s="682"/>
      <c r="AD326" s="682"/>
      <c r="AE326" s="682"/>
      <c r="AF326" s="682"/>
      <c r="AG326" s="917"/>
      <c r="AH326" s="917"/>
      <c r="AI326" s="917"/>
      <c r="AJ326" s="917"/>
      <c r="AK326" s="924"/>
      <c r="AL326" s="924"/>
      <c r="AM326" s="924"/>
      <c r="AN326" s="924"/>
      <c r="AO326" s="995"/>
    </row>
    <row r="327" spans="1:42" s="18" customFormat="1" ht="13.15" customHeight="1" x14ac:dyDescent="0.2">
      <c r="A327" s="676" t="s">
        <v>452</v>
      </c>
      <c r="B327" s="676"/>
      <c r="C327" s="676"/>
      <c r="D327" s="676"/>
      <c r="E327" s="676"/>
      <c r="F327" s="676"/>
      <c r="G327" s="898"/>
      <c r="H327" s="678"/>
      <c r="I327" s="678"/>
      <c r="J327" s="678"/>
      <c r="K327" s="678"/>
      <c r="L327" s="678"/>
      <c r="M327" s="678"/>
      <c r="N327" s="678"/>
      <c r="O327" s="678"/>
      <c r="P327" s="678"/>
      <c r="Q327" s="678"/>
      <c r="R327" s="678"/>
      <c r="S327" s="678"/>
      <c r="T327" s="915"/>
      <c r="U327" s="678"/>
      <c r="V327" s="678"/>
      <c r="W327" s="678"/>
      <c r="X327" s="678"/>
      <c r="Y327" s="678"/>
      <c r="Z327" s="678"/>
      <c r="AA327" s="678"/>
      <c r="AB327" s="678"/>
      <c r="AC327" s="678"/>
      <c r="AD327" s="678"/>
      <c r="AE327" s="678"/>
      <c r="AF327" s="678"/>
      <c r="AG327" s="915"/>
      <c r="AH327" s="915"/>
      <c r="AI327" s="915"/>
      <c r="AJ327" s="915"/>
      <c r="AK327" s="924"/>
      <c r="AL327" s="924"/>
      <c r="AM327" s="924"/>
      <c r="AN327" s="924"/>
      <c r="AO327" s="995"/>
    </row>
    <row r="328" spans="1:42" s="18" customFormat="1" ht="13.15" customHeight="1" x14ac:dyDescent="0.2">
      <c r="A328" s="674" t="s">
        <v>250</v>
      </c>
      <c r="B328" s="674"/>
      <c r="C328" s="690">
        <f>$G328/12</f>
        <v>1458.3333333333333</v>
      </c>
      <c r="D328" s="690">
        <f t="shared" ref="D328:F328" si="881">$G328/12</f>
        <v>1458.3333333333333</v>
      </c>
      <c r="E328" s="690">
        <f t="shared" si="881"/>
        <v>1458.3333333333333</v>
      </c>
      <c r="F328" s="690">
        <f t="shared" si="881"/>
        <v>1458.3333333333333</v>
      </c>
      <c r="G328" s="899">
        <v>17500</v>
      </c>
      <c r="H328" s="690">
        <f t="shared" ref="H328:M328" si="882">$T328/12</f>
        <v>1458.3333333333333</v>
      </c>
      <c r="I328" s="690">
        <f t="shared" si="882"/>
        <v>1458.3333333333333</v>
      </c>
      <c r="J328" s="690">
        <f t="shared" si="882"/>
        <v>1458.3333333333333</v>
      </c>
      <c r="K328" s="690">
        <f t="shared" si="882"/>
        <v>1458.3333333333333</v>
      </c>
      <c r="L328" s="690">
        <f t="shared" si="882"/>
        <v>1458.3333333333333</v>
      </c>
      <c r="M328" s="690">
        <f t="shared" si="882"/>
        <v>1458.3333333333333</v>
      </c>
      <c r="N328" s="690">
        <f t="shared" ref="N328:S328" si="883">$T328/12</f>
        <v>1458.3333333333333</v>
      </c>
      <c r="O328" s="690">
        <f t="shared" si="883"/>
        <v>1458.3333333333333</v>
      </c>
      <c r="P328" s="690">
        <f t="shared" si="883"/>
        <v>1458.3333333333333</v>
      </c>
      <c r="Q328" s="690">
        <f t="shared" si="883"/>
        <v>1458.3333333333333</v>
      </c>
      <c r="R328" s="690">
        <f t="shared" si="883"/>
        <v>1458.3333333333333</v>
      </c>
      <c r="S328" s="690">
        <f t="shared" si="883"/>
        <v>1458.3333333333333</v>
      </c>
      <c r="T328" s="899">
        <v>17500</v>
      </c>
      <c r="U328" s="690">
        <f>$AG328/12</f>
        <v>1531.25</v>
      </c>
      <c r="V328" s="690">
        <f t="shared" ref="V328:AF328" si="884">$AG328/12</f>
        <v>1531.25</v>
      </c>
      <c r="W328" s="690">
        <f t="shared" si="884"/>
        <v>1531.25</v>
      </c>
      <c r="X328" s="690">
        <f t="shared" si="884"/>
        <v>1531.25</v>
      </c>
      <c r="Y328" s="690">
        <f t="shared" si="884"/>
        <v>1531.25</v>
      </c>
      <c r="Z328" s="690">
        <f t="shared" si="884"/>
        <v>1531.25</v>
      </c>
      <c r="AA328" s="690">
        <f t="shared" si="884"/>
        <v>1531.25</v>
      </c>
      <c r="AB328" s="690">
        <f t="shared" si="884"/>
        <v>1531.25</v>
      </c>
      <c r="AC328" s="690">
        <f t="shared" si="884"/>
        <v>1531.25</v>
      </c>
      <c r="AD328" s="690">
        <f t="shared" si="884"/>
        <v>1531.25</v>
      </c>
      <c r="AE328" s="690">
        <f t="shared" si="884"/>
        <v>1531.25</v>
      </c>
      <c r="AF328" s="690">
        <f t="shared" si="884"/>
        <v>1531.25</v>
      </c>
      <c r="AG328" s="902">
        <f>T328*(1+AG329)</f>
        <v>18375</v>
      </c>
      <c r="AH328" s="902">
        <f t="shared" ref="AH328:AO328" si="885">AG328*(1+AH329)</f>
        <v>19293.75</v>
      </c>
      <c r="AI328" s="902">
        <f t="shared" si="885"/>
        <v>20065.5</v>
      </c>
      <c r="AJ328" s="902">
        <f t="shared" si="885"/>
        <v>20667.465</v>
      </c>
      <c r="AK328" s="902">
        <f t="shared" si="885"/>
        <v>21080.814300000002</v>
      </c>
      <c r="AL328" s="902">
        <f t="shared" si="885"/>
        <v>21291.622443000004</v>
      </c>
      <c r="AM328" s="902">
        <f t="shared" si="885"/>
        <v>21291.622443000004</v>
      </c>
      <c r="AN328" s="902">
        <f t="shared" si="885"/>
        <v>21291.622443000004</v>
      </c>
      <c r="AO328" s="996">
        <f t="shared" si="885"/>
        <v>21291.622443000004</v>
      </c>
    </row>
    <row r="329" spans="1:42" s="987" customFormat="1" ht="13.15" customHeight="1" x14ac:dyDescent="0.2">
      <c r="A329" s="680" t="s">
        <v>324</v>
      </c>
      <c r="B329" s="680"/>
      <c r="C329" s="687"/>
      <c r="D329" s="687"/>
      <c r="E329" s="687"/>
      <c r="F329" s="687"/>
      <c r="G329" s="900"/>
      <c r="H329" s="687"/>
      <c r="I329" s="687"/>
      <c r="J329" s="687"/>
      <c r="K329" s="687"/>
      <c r="L329" s="687"/>
      <c r="M329" s="687"/>
      <c r="N329" s="687"/>
      <c r="O329" s="687"/>
      <c r="P329" s="687"/>
      <c r="Q329" s="687"/>
      <c r="R329" s="687"/>
      <c r="S329" s="687"/>
      <c r="T329" s="916"/>
      <c r="U329" s="687"/>
      <c r="V329" s="687"/>
      <c r="W329" s="687"/>
      <c r="X329" s="687"/>
      <c r="Y329" s="687"/>
      <c r="Z329" s="687"/>
      <c r="AA329" s="687"/>
      <c r="AB329" s="687"/>
      <c r="AC329" s="687"/>
      <c r="AD329" s="687"/>
      <c r="AE329" s="687"/>
      <c r="AF329" s="687"/>
      <c r="AG329" s="921">
        <v>0.05</v>
      </c>
      <c r="AH329" s="921">
        <v>0.05</v>
      </c>
      <c r="AI329" s="921">
        <f>AH329-1%</f>
        <v>0.04</v>
      </c>
      <c r="AJ329" s="921">
        <f>AI329-1%</f>
        <v>0.03</v>
      </c>
      <c r="AK329" s="921">
        <f>AJ329-1%</f>
        <v>1.9999999999999997E-2</v>
      </c>
      <c r="AL329" s="921">
        <f>AK329-1%</f>
        <v>9.9999999999999967E-3</v>
      </c>
      <c r="AM329" s="921">
        <f>AL329-1%</f>
        <v>0</v>
      </c>
      <c r="AN329" s="925">
        <f>AM329</f>
        <v>0</v>
      </c>
      <c r="AO329" s="997">
        <f>AN329</f>
        <v>0</v>
      </c>
    </row>
    <row r="330" spans="1:42" s="987" customFormat="1" ht="13.15" customHeight="1" x14ac:dyDescent="0.2">
      <c r="A330" s="680" t="s">
        <v>248</v>
      </c>
      <c r="B330" s="680"/>
      <c r="C330" s="687">
        <f t="shared" ref="C330:F330" si="886">C303</f>
        <v>0</v>
      </c>
      <c r="D330" s="687">
        <f t="shared" si="886"/>
        <v>0</v>
      </c>
      <c r="E330" s="687">
        <f t="shared" si="886"/>
        <v>0</v>
      </c>
      <c r="F330" s="687">
        <f t="shared" si="886"/>
        <v>0</v>
      </c>
      <c r="G330" s="900">
        <f>F330</f>
        <v>0</v>
      </c>
      <c r="H330" s="687">
        <f t="shared" ref="H330:M330" si="887">H303</f>
        <v>0</v>
      </c>
      <c r="I330" s="687">
        <f t="shared" si="887"/>
        <v>0</v>
      </c>
      <c r="J330" s="687">
        <f t="shared" si="887"/>
        <v>0</v>
      </c>
      <c r="K330" s="687">
        <f t="shared" si="887"/>
        <v>0</v>
      </c>
      <c r="L330" s="687">
        <f t="shared" si="887"/>
        <v>0</v>
      </c>
      <c r="M330" s="687">
        <f t="shared" si="887"/>
        <v>0</v>
      </c>
      <c r="N330" s="687">
        <f t="shared" ref="N330:S330" si="888">N303</f>
        <v>0</v>
      </c>
      <c r="O330" s="687">
        <f t="shared" si="888"/>
        <v>0</v>
      </c>
      <c r="P330" s="687">
        <f t="shared" si="888"/>
        <v>0</v>
      </c>
      <c r="Q330" s="687">
        <f t="shared" si="888"/>
        <v>0</v>
      </c>
      <c r="R330" s="687">
        <f t="shared" si="888"/>
        <v>0</v>
      </c>
      <c r="S330" s="687">
        <f t="shared" si="888"/>
        <v>0</v>
      </c>
      <c r="T330" s="916">
        <f>S330</f>
        <v>0</v>
      </c>
      <c r="U330" s="687">
        <v>0</v>
      </c>
      <c r="V330" s="687">
        <f t="shared" ref="V330:AG330" si="889">U330</f>
        <v>0</v>
      </c>
      <c r="W330" s="687">
        <f t="shared" si="889"/>
        <v>0</v>
      </c>
      <c r="X330" s="687">
        <f t="shared" si="889"/>
        <v>0</v>
      </c>
      <c r="Y330" s="687">
        <f t="shared" si="889"/>
        <v>0</v>
      </c>
      <c r="Z330" s="687">
        <f t="shared" si="889"/>
        <v>0</v>
      </c>
      <c r="AA330" s="687">
        <f t="shared" si="889"/>
        <v>0</v>
      </c>
      <c r="AB330" s="687">
        <f t="shared" si="889"/>
        <v>0</v>
      </c>
      <c r="AC330" s="687">
        <f t="shared" si="889"/>
        <v>0</v>
      </c>
      <c r="AD330" s="687">
        <f t="shared" si="889"/>
        <v>0</v>
      </c>
      <c r="AE330" s="687">
        <f t="shared" si="889"/>
        <v>0</v>
      </c>
      <c r="AF330" s="687">
        <f t="shared" si="889"/>
        <v>0</v>
      </c>
      <c r="AG330" s="916">
        <f t="shared" si="889"/>
        <v>0</v>
      </c>
      <c r="AH330" s="921">
        <f>AG222</f>
        <v>0</v>
      </c>
      <c r="AI330" s="921">
        <f t="shared" ref="AI330:AO330" si="890">AH222</f>
        <v>6.0000000000000001E-3</v>
      </c>
      <c r="AJ330" s="921">
        <f t="shared" si="890"/>
        <v>1.7999999999999999E-2</v>
      </c>
      <c r="AK330" s="921">
        <f t="shared" si="890"/>
        <v>3.5999999999999997E-2</v>
      </c>
      <c r="AL330" s="921">
        <f t="shared" si="890"/>
        <v>7.1999999999999995E-2</v>
      </c>
      <c r="AM330" s="921">
        <f t="shared" si="890"/>
        <v>0.11</v>
      </c>
      <c r="AN330" s="921">
        <f t="shared" si="890"/>
        <v>0.13</v>
      </c>
      <c r="AO330" s="1004">
        <f t="shared" si="890"/>
        <v>0.15</v>
      </c>
    </row>
    <row r="331" spans="1:42" s="18" customFormat="1" ht="13.15" customHeight="1" x14ac:dyDescent="0.2">
      <c r="A331" s="680" t="s">
        <v>251</v>
      </c>
      <c r="B331" s="680"/>
      <c r="C331" s="690">
        <f t="shared" ref="C331:F331" si="891">C328*C330</f>
        <v>0</v>
      </c>
      <c r="D331" s="690">
        <f t="shared" si="891"/>
        <v>0</v>
      </c>
      <c r="E331" s="690">
        <f t="shared" si="891"/>
        <v>0</v>
      </c>
      <c r="F331" s="690">
        <f t="shared" si="891"/>
        <v>0</v>
      </c>
      <c r="G331" s="902">
        <f>SUM(C331:F331)</f>
        <v>0</v>
      </c>
      <c r="H331" s="690">
        <f t="shared" ref="H331:M331" si="892">H328*H330</f>
        <v>0</v>
      </c>
      <c r="I331" s="690">
        <f t="shared" si="892"/>
        <v>0</v>
      </c>
      <c r="J331" s="690">
        <f t="shared" si="892"/>
        <v>0</v>
      </c>
      <c r="K331" s="690">
        <f t="shared" si="892"/>
        <v>0</v>
      </c>
      <c r="L331" s="690">
        <f t="shared" si="892"/>
        <v>0</v>
      </c>
      <c r="M331" s="690">
        <f t="shared" si="892"/>
        <v>0</v>
      </c>
      <c r="N331" s="690">
        <f t="shared" ref="N331:S331" si="893">N328*N330</f>
        <v>0</v>
      </c>
      <c r="O331" s="690">
        <f t="shared" si="893"/>
        <v>0</v>
      </c>
      <c r="P331" s="690">
        <f t="shared" si="893"/>
        <v>0</v>
      </c>
      <c r="Q331" s="690">
        <f t="shared" si="893"/>
        <v>0</v>
      </c>
      <c r="R331" s="690">
        <f t="shared" si="893"/>
        <v>0</v>
      </c>
      <c r="S331" s="690">
        <f t="shared" si="893"/>
        <v>0</v>
      </c>
      <c r="T331" s="917">
        <f>SUM(H331:S331)</f>
        <v>0</v>
      </c>
      <c r="U331" s="690">
        <f t="shared" ref="U331:AF331" si="894">U328*U330</f>
        <v>0</v>
      </c>
      <c r="V331" s="690">
        <f t="shared" si="894"/>
        <v>0</v>
      </c>
      <c r="W331" s="690">
        <f t="shared" si="894"/>
        <v>0</v>
      </c>
      <c r="X331" s="690">
        <f t="shared" si="894"/>
        <v>0</v>
      </c>
      <c r="Y331" s="690">
        <f t="shared" si="894"/>
        <v>0</v>
      </c>
      <c r="Z331" s="690">
        <f t="shared" si="894"/>
        <v>0</v>
      </c>
      <c r="AA331" s="690">
        <f t="shared" si="894"/>
        <v>0</v>
      </c>
      <c r="AB331" s="690">
        <f t="shared" si="894"/>
        <v>0</v>
      </c>
      <c r="AC331" s="690">
        <f t="shared" si="894"/>
        <v>0</v>
      </c>
      <c r="AD331" s="690">
        <f t="shared" si="894"/>
        <v>0</v>
      </c>
      <c r="AE331" s="690">
        <f t="shared" si="894"/>
        <v>0</v>
      </c>
      <c r="AF331" s="690">
        <f t="shared" si="894"/>
        <v>0</v>
      </c>
      <c r="AG331" s="902">
        <f>SUM(U331:AF331)</f>
        <v>0</v>
      </c>
      <c r="AH331" s="902">
        <f>AH328*AVERAGE(AF330,AH330)</f>
        <v>0</v>
      </c>
      <c r="AI331" s="902">
        <f t="shared" ref="AI331:AO331" si="895">AI328*AVERAGE(AH330,AI330)</f>
        <v>60.1965</v>
      </c>
      <c r="AJ331" s="902">
        <f t="shared" si="895"/>
        <v>248.00958</v>
      </c>
      <c r="AK331" s="902">
        <f t="shared" si="895"/>
        <v>569.18198610000002</v>
      </c>
      <c r="AL331" s="902">
        <f t="shared" si="895"/>
        <v>1149.747611922</v>
      </c>
      <c r="AM331" s="902">
        <f t="shared" si="895"/>
        <v>1937.5376423130003</v>
      </c>
      <c r="AN331" s="902">
        <f t="shared" si="895"/>
        <v>2554.9946931600002</v>
      </c>
      <c r="AO331" s="996">
        <f t="shared" si="895"/>
        <v>2980.8271420200008</v>
      </c>
    </row>
    <row r="332" spans="1:42" s="18" customFormat="1" ht="13.15" customHeight="1" x14ac:dyDescent="0.2">
      <c r="A332" s="680" t="s">
        <v>249</v>
      </c>
      <c r="B332" s="680"/>
      <c r="C332" s="686">
        <v>2</v>
      </c>
      <c r="D332" s="686">
        <f>C332</f>
        <v>2</v>
      </c>
      <c r="E332" s="686">
        <f t="shared" ref="E332:F332" si="896">D332</f>
        <v>2</v>
      </c>
      <c r="F332" s="686">
        <f t="shared" si="896"/>
        <v>2</v>
      </c>
      <c r="G332" s="903">
        <f>F332</f>
        <v>2</v>
      </c>
      <c r="H332" s="686">
        <f>F332</f>
        <v>2</v>
      </c>
      <c r="I332" s="686">
        <f>H332</f>
        <v>2</v>
      </c>
      <c r="J332" s="686">
        <f t="shared" ref="J332:S332" si="897">I332</f>
        <v>2</v>
      </c>
      <c r="K332" s="686">
        <f t="shared" si="897"/>
        <v>2</v>
      </c>
      <c r="L332" s="686">
        <f t="shared" si="897"/>
        <v>2</v>
      </c>
      <c r="M332" s="686">
        <f t="shared" si="897"/>
        <v>2</v>
      </c>
      <c r="N332" s="686">
        <f t="shared" si="897"/>
        <v>2</v>
      </c>
      <c r="O332" s="686">
        <f t="shared" si="897"/>
        <v>2</v>
      </c>
      <c r="P332" s="686">
        <f t="shared" si="897"/>
        <v>2</v>
      </c>
      <c r="Q332" s="686">
        <f t="shared" si="897"/>
        <v>2</v>
      </c>
      <c r="R332" s="686">
        <f t="shared" si="897"/>
        <v>2</v>
      </c>
      <c r="S332" s="686">
        <f t="shared" si="897"/>
        <v>2</v>
      </c>
      <c r="T332" s="903">
        <f t="shared" ref="T332" si="898">S332</f>
        <v>2</v>
      </c>
      <c r="U332" s="686">
        <f>S332</f>
        <v>2</v>
      </c>
      <c r="V332" s="686">
        <f t="shared" ref="V332:AG332" si="899">U332</f>
        <v>2</v>
      </c>
      <c r="W332" s="686">
        <f t="shared" si="899"/>
        <v>2</v>
      </c>
      <c r="X332" s="686">
        <f t="shared" si="899"/>
        <v>2</v>
      </c>
      <c r="Y332" s="686">
        <f t="shared" si="899"/>
        <v>2</v>
      </c>
      <c r="Z332" s="686">
        <f t="shared" si="899"/>
        <v>2</v>
      </c>
      <c r="AA332" s="686">
        <f t="shared" si="899"/>
        <v>2</v>
      </c>
      <c r="AB332" s="686">
        <f t="shared" si="899"/>
        <v>2</v>
      </c>
      <c r="AC332" s="686">
        <f t="shared" si="899"/>
        <v>2</v>
      </c>
      <c r="AD332" s="686">
        <f t="shared" si="899"/>
        <v>2</v>
      </c>
      <c r="AE332" s="686">
        <f t="shared" si="899"/>
        <v>2</v>
      </c>
      <c r="AF332" s="686">
        <f t="shared" si="899"/>
        <v>2</v>
      </c>
      <c r="AG332" s="919">
        <f t="shared" si="899"/>
        <v>2</v>
      </c>
      <c r="AH332" s="919">
        <f>AF332</f>
        <v>2</v>
      </c>
      <c r="AI332" s="919">
        <f t="shared" ref="AI332:AO332" si="900">AH332</f>
        <v>2</v>
      </c>
      <c r="AJ332" s="919">
        <f t="shared" si="900"/>
        <v>2</v>
      </c>
      <c r="AK332" s="919">
        <f t="shared" si="900"/>
        <v>2</v>
      </c>
      <c r="AL332" s="919">
        <f t="shared" si="900"/>
        <v>2</v>
      </c>
      <c r="AM332" s="919">
        <f t="shared" si="900"/>
        <v>2</v>
      </c>
      <c r="AN332" s="919">
        <f t="shared" si="900"/>
        <v>2</v>
      </c>
      <c r="AO332" s="998">
        <f t="shared" si="900"/>
        <v>2</v>
      </c>
    </row>
    <row r="333" spans="1:42" s="18" customFormat="1" ht="13.15" customHeight="1" x14ac:dyDescent="0.2">
      <c r="A333" s="680" t="s">
        <v>255</v>
      </c>
      <c r="B333" s="680"/>
      <c r="C333" s="690">
        <f t="shared" ref="C333:F333" si="901">C331*C332</f>
        <v>0</v>
      </c>
      <c r="D333" s="690">
        <f t="shared" si="901"/>
        <v>0</v>
      </c>
      <c r="E333" s="690">
        <f t="shared" si="901"/>
        <v>0</v>
      </c>
      <c r="F333" s="690">
        <f t="shared" si="901"/>
        <v>0</v>
      </c>
      <c r="G333" s="902">
        <f>SUM(C333:F333)</f>
        <v>0</v>
      </c>
      <c r="H333" s="690">
        <f t="shared" ref="H333:M333" si="902">H331*H332</f>
        <v>0</v>
      </c>
      <c r="I333" s="690">
        <f t="shared" si="902"/>
        <v>0</v>
      </c>
      <c r="J333" s="690">
        <f t="shared" si="902"/>
        <v>0</v>
      </c>
      <c r="K333" s="690">
        <f t="shared" si="902"/>
        <v>0</v>
      </c>
      <c r="L333" s="690">
        <f t="shared" si="902"/>
        <v>0</v>
      </c>
      <c r="M333" s="690">
        <f t="shared" si="902"/>
        <v>0</v>
      </c>
      <c r="N333" s="690">
        <f t="shared" ref="N333:S333" si="903">N331*N332</f>
        <v>0</v>
      </c>
      <c r="O333" s="690">
        <f t="shared" si="903"/>
        <v>0</v>
      </c>
      <c r="P333" s="690">
        <f t="shared" si="903"/>
        <v>0</v>
      </c>
      <c r="Q333" s="690">
        <f t="shared" si="903"/>
        <v>0</v>
      </c>
      <c r="R333" s="690">
        <f t="shared" si="903"/>
        <v>0</v>
      </c>
      <c r="S333" s="690">
        <f t="shared" si="903"/>
        <v>0</v>
      </c>
      <c r="T333" s="918">
        <f>SUM(H333:S333)</f>
        <v>0</v>
      </c>
      <c r="U333" s="690">
        <f t="shared" ref="U333:AF333" si="904">U331*U332</f>
        <v>0</v>
      </c>
      <c r="V333" s="690">
        <f t="shared" si="904"/>
        <v>0</v>
      </c>
      <c r="W333" s="690">
        <f t="shared" si="904"/>
        <v>0</v>
      </c>
      <c r="X333" s="690">
        <f t="shared" si="904"/>
        <v>0</v>
      </c>
      <c r="Y333" s="690">
        <f t="shared" si="904"/>
        <v>0</v>
      </c>
      <c r="Z333" s="690">
        <f t="shared" si="904"/>
        <v>0</v>
      </c>
      <c r="AA333" s="690">
        <f t="shared" si="904"/>
        <v>0</v>
      </c>
      <c r="AB333" s="690">
        <f t="shared" si="904"/>
        <v>0</v>
      </c>
      <c r="AC333" s="690">
        <f t="shared" si="904"/>
        <v>0</v>
      </c>
      <c r="AD333" s="690">
        <f t="shared" si="904"/>
        <v>0</v>
      </c>
      <c r="AE333" s="690">
        <f t="shared" si="904"/>
        <v>0</v>
      </c>
      <c r="AF333" s="690">
        <f t="shared" si="904"/>
        <v>0</v>
      </c>
      <c r="AG333" s="918">
        <f>SUM(U333:AF333)</f>
        <v>0</v>
      </c>
      <c r="AH333" s="902">
        <f t="shared" ref="AH333:AO333" si="905">AH331*AH332</f>
        <v>0</v>
      </c>
      <c r="AI333" s="902">
        <f t="shared" si="905"/>
        <v>120.393</v>
      </c>
      <c r="AJ333" s="902">
        <f t="shared" si="905"/>
        <v>496.01916</v>
      </c>
      <c r="AK333" s="902">
        <f t="shared" si="905"/>
        <v>1138.3639722</v>
      </c>
      <c r="AL333" s="902">
        <f t="shared" si="905"/>
        <v>2299.4952238440001</v>
      </c>
      <c r="AM333" s="902">
        <f t="shared" si="905"/>
        <v>3875.0752846260007</v>
      </c>
      <c r="AN333" s="902">
        <f t="shared" si="905"/>
        <v>5109.9893863200004</v>
      </c>
      <c r="AO333" s="996">
        <f t="shared" si="905"/>
        <v>5961.6542840400016</v>
      </c>
    </row>
    <row r="334" spans="1:42" s="34" customFormat="1" ht="12.4" customHeight="1" x14ac:dyDescent="0.2">
      <c r="A334" s="1"/>
      <c r="B334" s="1"/>
      <c r="C334" s="1"/>
      <c r="D334" s="1"/>
      <c r="E334" s="1"/>
      <c r="F334" s="1"/>
      <c r="G334" s="26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6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268"/>
      <c r="AH334" s="268"/>
      <c r="AI334" s="268"/>
      <c r="AJ334" s="268"/>
      <c r="AK334" s="268"/>
      <c r="AL334" s="268"/>
      <c r="AM334" s="268"/>
      <c r="AN334" s="268"/>
      <c r="AO334" s="999"/>
      <c r="AP334" s="18"/>
    </row>
    <row r="335" spans="1:42" s="18" customFormat="1" ht="13.15" customHeight="1" x14ac:dyDescent="0.2">
      <c r="A335" s="680" t="s">
        <v>253</v>
      </c>
      <c r="B335" s="680"/>
      <c r="C335" s="689">
        <v>0</v>
      </c>
      <c r="D335" s="689">
        <v>0</v>
      </c>
      <c r="E335" s="689">
        <v>0</v>
      </c>
      <c r="F335" s="689">
        <v>0</v>
      </c>
      <c r="G335" s="902">
        <f>F335</f>
        <v>0</v>
      </c>
      <c r="H335" s="689">
        <v>0</v>
      </c>
      <c r="I335" s="689">
        <v>0</v>
      </c>
      <c r="J335" s="689">
        <v>0</v>
      </c>
      <c r="K335" s="689">
        <v>0</v>
      </c>
      <c r="L335" s="689">
        <v>0</v>
      </c>
      <c r="M335" s="689">
        <v>0</v>
      </c>
      <c r="N335" s="689">
        <v>0</v>
      </c>
      <c r="O335" s="689">
        <v>0</v>
      </c>
      <c r="P335" s="689">
        <v>0</v>
      </c>
      <c r="Q335" s="689">
        <v>0</v>
      </c>
      <c r="R335" s="689">
        <v>0</v>
      </c>
      <c r="S335" s="689">
        <v>0</v>
      </c>
      <c r="T335" s="902">
        <f>S335</f>
        <v>0</v>
      </c>
      <c r="U335" s="689">
        <f>S335</f>
        <v>0</v>
      </c>
      <c r="V335" s="689">
        <f t="shared" ref="V335:AG335" si="906">U335</f>
        <v>0</v>
      </c>
      <c r="W335" s="689">
        <f t="shared" si="906"/>
        <v>0</v>
      </c>
      <c r="X335" s="689">
        <f t="shared" si="906"/>
        <v>0</v>
      </c>
      <c r="Y335" s="689">
        <f t="shared" si="906"/>
        <v>0</v>
      </c>
      <c r="Z335" s="689">
        <f t="shared" si="906"/>
        <v>0</v>
      </c>
      <c r="AA335" s="689">
        <f t="shared" si="906"/>
        <v>0</v>
      </c>
      <c r="AB335" s="689">
        <f t="shared" si="906"/>
        <v>0</v>
      </c>
      <c r="AC335" s="689">
        <f t="shared" si="906"/>
        <v>0</v>
      </c>
      <c r="AD335" s="689">
        <f t="shared" si="906"/>
        <v>0</v>
      </c>
      <c r="AE335" s="689">
        <f t="shared" si="906"/>
        <v>0</v>
      </c>
      <c r="AF335" s="689">
        <f t="shared" si="906"/>
        <v>0</v>
      </c>
      <c r="AG335" s="902">
        <f t="shared" si="906"/>
        <v>0</v>
      </c>
      <c r="AH335" s="899">
        <f>AF335</f>
        <v>0</v>
      </c>
      <c r="AI335" s="899">
        <f t="shared" ref="AI335:AO335" si="907">AH335</f>
        <v>0</v>
      </c>
      <c r="AJ335" s="899">
        <f t="shared" si="907"/>
        <v>0</v>
      </c>
      <c r="AK335" s="899">
        <f t="shared" si="907"/>
        <v>0</v>
      </c>
      <c r="AL335" s="899">
        <f t="shared" si="907"/>
        <v>0</v>
      </c>
      <c r="AM335" s="899">
        <f t="shared" si="907"/>
        <v>0</v>
      </c>
      <c r="AN335" s="899">
        <f t="shared" si="907"/>
        <v>0</v>
      </c>
      <c r="AO335" s="1000">
        <f t="shared" si="907"/>
        <v>0</v>
      </c>
    </row>
    <row r="336" spans="1:42" s="18" customFormat="1" ht="13.15" customHeight="1" x14ac:dyDescent="0.2">
      <c r="A336" s="680" t="s">
        <v>252</v>
      </c>
      <c r="B336" s="680"/>
      <c r="C336" s="689">
        <v>0</v>
      </c>
      <c r="D336" s="689">
        <v>0</v>
      </c>
      <c r="E336" s="689">
        <v>0</v>
      </c>
      <c r="F336" s="689">
        <v>0</v>
      </c>
      <c r="G336" s="902">
        <f>SUM(C336:F336)</f>
        <v>0</v>
      </c>
      <c r="H336" s="689">
        <v>0</v>
      </c>
      <c r="I336" s="689">
        <v>0</v>
      </c>
      <c r="J336" s="689">
        <v>0</v>
      </c>
      <c r="K336" s="689">
        <v>0</v>
      </c>
      <c r="L336" s="689">
        <v>0</v>
      </c>
      <c r="M336" s="689">
        <v>0</v>
      </c>
      <c r="N336" s="689">
        <f t="shared" ref="N336:S336" si="908">100/12</f>
        <v>8.3333333333333339</v>
      </c>
      <c r="O336" s="689">
        <f t="shared" si="908"/>
        <v>8.3333333333333339</v>
      </c>
      <c r="P336" s="689">
        <f t="shared" si="908"/>
        <v>8.3333333333333339</v>
      </c>
      <c r="Q336" s="689">
        <f t="shared" si="908"/>
        <v>8.3333333333333339</v>
      </c>
      <c r="R336" s="689">
        <f t="shared" si="908"/>
        <v>8.3333333333333339</v>
      </c>
      <c r="S336" s="689">
        <f t="shared" si="908"/>
        <v>8.3333333333333339</v>
      </c>
      <c r="T336" s="917">
        <f>SUM(H336:S336)</f>
        <v>50.000000000000007</v>
      </c>
      <c r="U336" s="689">
        <f t="shared" ref="U336:AF336" si="909">100/12</f>
        <v>8.3333333333333339</v>
      </c>
      <c r="V336" s="689">
        <f t="shared" si="909"/>
        <v>8.3333333333333339</v>
      </c>
      <c r="W336" s="689">
        <f t="shared" si="909"/>
        <v>8.3333333333333339</v>
      </c>
      <c r="X336" s="689">
        <f t="shared" si="909"/>
        <v>8.3333333333333339</v>
      </c>
      <c r="Y336" s="689">
        <f t="shared" si="909"/>
        <v>8.3333333333333339</v>
      </c>
      <c r="Z336" s="689">
        <f t="shared" si="909"/>
        <v>8.3333333333333339</v>
      </c>
      <c r="AA336" s="689">
        <f t="shared" si="909"/>
        <v>8.3333333333333339</v>
      </c>
      <c r="AB336" s="689">
        <f t="shared" si="909"/>
        <v>8.3333333333333339</v>
      </c>
      <c r="AC336" s="689">
        <f t="shared" si="909"/>
        <v>8.3333333333333339</v>
      </c>
      <c r="AD336" s="689">
        <f t="shared" si="909"/>
        <v>8.3333333333333339</v>
      </c>
      <c r="AE336" s="689">
        <f t="shared" si="909"/>
        <v>8.3333333333333339</v>
      </c>
      <c r="AF336" s="689">
        <f t="shared" si="909"/>
        <v>8.3333333333333339</v>
      </c>
      <c r="AG336" s="917">
        <f>SUM(U336:AF336)</f>
        <v>99.999999999999986</v>
      </c>
      <c r="AH336" s="899">
        <v>100</v>
      </c>
      <c r="AI336" s="899">
        <v>100</v>
      </c>
      <c r="AJ336" s="899">
        <v>100</v>
      </c>
      <c r="AK336" s="899">
        <v>100</v>
      </c>
      <c r="AL336" s="899">
        <v>100</v>
      </c>
      <c r="AM336" s="899">
        <v>100</v>
      </c>
      <c r="AN336" s="899">
        <v>100</v>
      </c>
      <c r="AO336" s="1000">
        <v>100</v>
      </c>
    </row>
    <row r="337" spans="1:42" s="18" customFormat="1" ht="13.15" customHeight="1" x14ac:dyDescent="0.2">
      <c r="A337" s="680" t="s">
        <v>254</v>
      </c>
      <c r="B337" s="680"/>
      <c r="C337" s="690">
        <f t="shared" ref="C337:F337" si="910">C335*C336</f>
        <v>0</v>
      </c>
      <c r="D337" s="690">
        <f t="shared" si="910"/>
        <v>0</v>
      </c>
      <c r="E337" s="690">
        <f t="shared" si="910"/>
        <v>0</v>
      </c>
      <c r="F337" s="690">
        <f t="shared" si="910"/>
        <v>0</v>
      </c>
      <c r="G337" s="902">
        <f>SUM(C337:F337)</f>
        <v>0</v>
      </c>
      <c r="H337" s="690">
        <f t="shared" ref="H337:M337" si="911">H335*H336</f>
        <v>0</v>
      </c>
      <c r="I337" s="690">
        <f t="shared" si="911"/>
        <v>0</v>
      </c>
      <c r="J337" s="690">
        <f t="shared" si="911"/>
        <v>0</v>
      </c>
      <c r="K337" s="690">
        <f t="shared" si="911"/>
        <v>0</v>
      </c>
      <c r="L337" s="690">
        <f t="shared" si="911"/>
        <v>0</v>
      </c>
      <c r="M337" s="690">
        <f t="shared" si="911"/>
        <v>0</v>
      </c>
      <c r="N337" s="690">
        <f t="shared" ref="N337:S337" si="912">N335*N336</f>
        <v>0</v>
      </c>
      <c r="O337" s="690">
        <f t="shared" si="912"/>
        <v>0</v>
      </c>
      <c r="P337" s="690">
        <f t="shared" si="912"/>
        <v>0</v>
      </c>
      <c r="Q337" s="690">
        <f t="shared" si="912"/>
        <v>0</v>
      </c>
      <c r="R337" s="690">
        <f t="shared" si="912"/>
        <v>0</v>
      </c>
      <c r="S337" s="690">
        <f t="shared" si="912"/>
        <v>0</v>
      </c>
      <c r="T337" s="917">
        <f>SUM(H337:S337)</f>
        <v>0</v>
      </c>
      <c r="U337" s="690">
        <f t="shared" ref="U337:AF337" si="913">U335*U336</f>
        <v>0</v>
      </c>
      <c r="V337" s="690">
        <f t="shared" si="913"/>
        <v>0</v>
      </c>
      <c r="W337" s="690">
        <f t="shared" si="913"/>
        <v>0</v>
      </c>
      <c r="X337" s="690">
        <f t="shared" si="913"/>
        <v>0</v>
      </c>
      <c r="Y337" s="690">
        <f t="shared" si="913"/>
        <v>0</v>
      </c>
      <c r="Z337" s="690">
        <f t="shared" si="913"/>
        <v>0</v>
      </c>
      <c r="AA337" s="690">
        <f t="shared" si="913"/>
        <v>0</v>
      </c>
      <c r="AB337" s="690">
        <f t="shared" si="913"/>
        <v>0</v>
      </c>
      <c r="AC337" s="690">
        <f t="shared" si="913"/>
        <v>0</v>
      </c>
      <c r="AD337" s="690">
        <f t="shared" si="913"/>
        <v>0</v>
      </c>
      <c r="AE337" s="690">
        <f t="shared" si="913"/>
        <v>0</v>
      </c>
      <c r="AF337" s="690">
        <f t="shared" si="913"/>
        <v>0</v>
      </c>
      <c r="AG337" s="902">
        <f>SUM(U337:AF337)</f>
        <v>0</v>
      </c>
      <c r="AH337" s="902">
        <f t="shared" ref="AH337:AO337" si="914">AH335*AH336</f>
        <v>0</v>
      </c>
      <c r="AI337" s="902">
        <f t="shared" si="914"/>
        <v>0</v>
      </c>
      <c r="AJ337" s="902">
        <f t="shared" si="914"/>
        <v>0</v>
      </c>
      <c r="AK337" s="902">
        <f t="shared" si="914"/>
        <v>0</v>
      </c>
      <c r="AL337" s="902">
        <f t="shared" si="914"/>
        <v>0</v>
      </c>
      <c r="AM337" s="902">
        <f t="shared" si="914"/>
        <v>0</v>
      </c>
      <c r="AN337" s="902">
        <f t="shared" si="914"/>
        <v>0</v>
      </c>
      <c r="AO337" s="996">
        <f t="shared" si="914"/>
        <v>0</v>
      </c>
    </row>
    <row r="338" spans="1:42" s="18" customFormat="1" ht="13.15" customHeight="1" x14ac:dyDescent="0.2">
      <c r="A338" s="680" t="s">
        <v>249</v>
      </c>
      <c r="B338" s="680"/>
      <c r="C338" s="686">
        <f t="shared" ref="C338:F338" si="915">C332</f>
        <v>2</v>
      </c>
      <c r="D338" s="686">
        <f t="shared" si="915"/>
        <v>2</v>
      </c>
      <c r="E338" s="686">
        <f t="shared" si="915"/>
        <v>2</v>
      </c>
      <c r="F338" s="686">
        <f t="shared" si="915"/>
        <v>2</v>
      </c>
      <c r="G338" s="903">
        <f>F338</f>
        <v>2</v>
      </c>
      <c r="H338" s="686">
        <f t="shared" ref="H338:M338" si="916">H332</f>
        <v>2</v>
      </c>
      <c r="I338" s="686">
        <f t="shared" si="916"/>
        <v>2</v>
      </c>
      <c r="J338" s="686">
        <f t="shared" si="916"/>
        <v>2</v>
      </c>
      <c r="K338" s="686">
        <f t="shared" si="916"/>
        <v>2</v>
      </c>
      <c r="L338" s="686">
        <f t="shared" si="916"/>
        <v>2</v>
      </c>
      <c r="M338" s="686">
        <f t="shared" si="916"/>
        <v>2</v>
      </c>
      <c r="N338" s="686">
        <f t="shared" ref="N338:AO338" si="917">N332</f>
        <v>2</v>
      </c>
      <c r="O338" s="686">
        <f t="shared" si="917"/>
        <v>2</v>
      </c>
      <c r="P338" s="686">
        <f t="shared" si="917"/>
        <v>2</v>
      </c>
      <c r="Q338" s="686">
        <f t="shared" si="917"/>
        <v>2</v>
      </c>
      <c r="R338" s="686">
        <f t="shared" si="917"/>
        <v>2</v>
      </c>
      <c r="S338" s="686">
        <f t="shared" si="917"/>
        <v>2</v>
      </c>
      <c r="T338" s="919">
        <f t="shared" si="917"/>
        <v>2</v>
      </c>
      <c r="U338" s="686">
        <f t="shared" si="917"/>
        <v>2</v>
      </c>
      <c r="V338" s="686">
        <f t="shared" si="917"/>
        <v>2</v>
      </c>
      <c r="W338" s="686">
        <f t="shared" si="917"/>
        <v>2</v>
      </c>
      <c r="X338" s="686">
        <f t="shared" si="917"/>
        <v>2</v>
      </c>
      <c r="Y338" s="686">
        <f t="shared" si="917"/>
        <v>2</v>
      </c>
      <c r="Z338" s="686">
        <f t="shared" si="917"/>
        <v>2</v>
      </c>
      <c r="AA338" s="686">
        <f t="shared" si="917"/>
        <v>2</v>
      </c>
      <c r="AB338" s="686">
        <f t="shared" si="917"/>
        <v>2</v>
      </c>
      <c r="AC338" s="686">
        <f t="shared" si="917"/>
        <v>2</v>
      </c>
      <c r="AD338" s="686">
        <f t="shared" si="917"/>
        <v>2</v>
      </c>
      <c r="AE338" s="686">
        <f t="shared" si="917"/>
        <v>2</v>
      </c>
      <c r="AF338" s="686">
        <f t="shared" si="917"/>
        <v>2</v>
      </c>
      <c r="AG338" s="919">
        <f t="shared" si="917"/>
        <v>2</v>
      </c>
      <c r="AH338" s="919">
        <f t="shared" si="917"/>
        <v>2</v>
      </c>
      <c r="AI338" s="919">
        <f t="shared" si="917"/>
        <v>2</v>
      </c>
      <c r="AJ338" s="919">
        <f t="shared" si="917"/>
        <v>2</v>
      </c>
      <c r="AK338" s="919">
        <f t="shared" si="917"/>
        <v>2</v>
      </c>
      <c r="AL338" s="919">
        <f t="shared" si="917"/>
        <v>2</v>
      </c>
      <c r="AM338" s="919">
        <f t="shared" si="917"/>
        <v>2</v>
      </c>
      <c r="AN338" s="919">
        <f t="shared" si="917"/>
        <v>2</v>
      </c>
      <c r="AO338" s="998">
        <f t="shared" si="917"/>
        <v>2</v>
      </c>
    </row>
    <row r="339" spans="1:42" s="18" customFormat="1" ht="13.15" customHeight="1" x14ac:dyDescent="0.2">
      <c r="A339" s="680" t="s">
        <v>255</v>
      </c>
      <c r="B339" s="680"/>
      <c r="C339" s="690">
        <f t="shared" ref="C339:F339" si="918">C337*C338</f>
        <v>0</v>
      </c>
      <c r="D339" s="690">
        <f t="shared" si="918"/>
        <v>0</v>
      </c>
      <c r="E339" s="690">
        <f t="shared" si="918"/>
        <v>0</v>
      </c>
      <c r="F339" s="690">
        <f t="shared" si="918"/>
        <v>0</v>
      </c>
      <c r="G339" s="902">
        <f>SUM(C339:F339)</f>
        <v>0</v>
      </c>
      <c r="H339" s="690">
        <f t="shared" ref="H339:M339" si="919">H337*H338</f>
        <v>0</v>
      </c>
      <c r="I339" s="690">
        <f t="shared" si="919"/>
        <v>0</v>
      </c>
      <c r="J339" s="690">
        <f t="shared" si="919"/>
        <v>0</v>
      </c>
      <c r="K339" s="690">
        <f t="shared" si="919"/>
        <v>0</v>
      </c>
      <c r="L339" s="690">
        <f t="shared" si="919"/>
        <v>0</v>
      </c>
      <c r="M339" s="690">
        <f t="shared" si="919"/>
        <v>0</v>
      </c>
      <c r="N339" s="690">
        <f t="shared" ref="N339:S339" si="920">N337*N338</f>
        <v>0</v>
      </c>
      <c r="O339" s="690">
        <f t="shared" si="920"/>
        <v>0</v>
      </c>
      <c r="P339" s="690">
        <f t="shared" si="920"/>
        <v>0</v>
      </c>
      <c r="Q339" s="690">
        <f t="shared" si="920"/>
        <v>0</v>
      </c>
      <c r="R339" s="690">
        <f t="shared" si="920"/>
        <v>0</v>
      </c>
      <c r="S339" s="690">
        <f t="shared" si="920"/>
        <v>0</v>
      </c>
      <c r="T339" s="918">
        <f>SUM(H339:S339)</f>
        <v>0</v>
      </c>
      <c r="U339" s="690">
        <f t="shared" ref="U339:AF339" si="921">U337*U338</f>
        <v>0</v>
      </c>
      <c r="V339" s="690">
        <f t="shared" si="921"/>
        <v>0</v>
      </c>
      <c r="W339" s="690">
        <f t="shared" si="921"/>
        <v>0</v>
      </c>
      <c r="X339" s="690">
        <f t="shared" si="921"/>
        <v>0</v>
      </c>
      <c r="Y339" s="690">
        <f t="shared" si="921"/>
        <v>0</v>
      </c>
      <c r="Z339" s="690">
        <f t="shared" si="921"/>
        <v>0</v>
      </c>
      <c r="AA339" s="690">
        <f t="shared" si="921"/>
        <v>0</v>
      </c>
      <c r="AB339" s="690">
        <f t="shared" si="921"/>
        <v>0</v>
      </c>
      <c r="AC339" s="690">
        <f t="shared" si="921"/>
        <v>0</v>
      </c>
      <c r="AD339" s="690">
        <f t="shared" si="921"/>
        <v>0</v>
      </c>
      <c r="AE339" s="690">
        <f t="shared" si="921"/>
        <v>0</v>
      </c>
      <c r="AF339" s="690">
        <f t="shared" si="921"/>
        <v>0</v>
      </c>
      <c r="AG339" s="918">
        <f>SUM(U339:AF339)</f>
        <v>0</v>
      </c>
      <c r="AH339" s="902">
        <f t="shared" ref="AH339:AO339" si="922">AH337*AH338</f>
        <v>0</v>
      </c>
      <c r="AI339" s="902">
        <f t="shared" si="922"/>
        <v>0</v>
      </c>
      <c r="AJ339" s="902">
        <f t="shared" si="922"/>
        <v>0</v>
      </c>
      <c r="AK339" s="902">
        <f t="shared" si="922"/>
        <v>0</v>
      </c>
      <c r="AL339" s="902">
        <f t="shared" si="922"/>
        <v>0</v>
      </c>
      <c r="AM339" s="902">
        <f t="shared" si="922"/>
        <v>0</v>
      </c>
      <c r="AN339" s="902">
        <f t="shared" si="922"/>
        <v>0</v>
      </c>
      <c r="AO339" s="996">
        <f t="shared" si="922"/>
        <v>0</v>
      </c>
    </row>
    <row r="340" spans="1:42" s="18" customFormat="1" ht="13.15" customHeight="1" x14ac:dyDescent="0.2">
      <c r="A340" s="674"/>
      <c r="B340" s="674"/>
      <c r="C340" s="682"/>
      <c r="D340" s="682"/>
      <c r="E340" s="682"/>
      <c r="F340" s="682"/>
      <c r="G340" s="900"/>
      <c r="H340" s="682"/>
      <c r="I340" s="682"/>
      <c r="J340" s="682"/>
      <c r="K340" s="682"/>
      <c r="L340" s="682"/>
      <c r="M340" s="682"/>
      <c r="N340" s="682"/>
      <c r="O340" s="682"/>
      <c r="P340" s="682"/>
      <c r="Q340" s="682"/>
      <c r="R340" s="682"/>
      <c r="S340" s="682"/>
      <c r="T340" s="917"/>
      <c r="U340" s="682"/>
      <c r="V340" s="682"/>
      <c r="W340" s="682"/>
      <c r="X340" s="682"/>
      <c r="Y340" s="682"/>
      <c r="Z340" s="682"/>
      <c r="AA340" s="682"/>
      <c r="AB340" s="682"/>
      <c r="AC340" s="682"/>
      <c r="AD340" s="682"/>
      <c r="AE340" s="682"/>
      <c r="AF340" s="682"/>
      <c r="AG340" s="917"/>
      <c r="AH340" s="917"/>
      <c r="AI340" s="917"/>
      <c r="AJ340" s="917"/>
      <c r="AK340" s="924"/>
      <c r="AL340" s="924"/>
      <c r="AM340" s="924"/>
      <c r="AN340" s="924"/>
      <c r="AO340" s="995"/>
    </row>
    <row r="341" spans="1:42" s="18" customFormat="1" ht="13.15" customHeight="1" x14ac:dyDescent="0.2">
      <c r="A341" s="680" t="s">
        <v>256</v>
      </c>
      <c r="B341" s="680"/>
      <c r="C341" s="689">
        <v>0</v>
      </c>
      <c r="D341" s="689">
        <v>0</v>
      </c>
      <c r="E341" s="689">
        <v>0</v>
      </c>
      <c r="F341" s="689">
        <v>0</v>
      </c>
      <c r="G341" s="902">
        <f>F341</f>
        <v>0</v>
      </c>
      <c r="H341" s="689">
        <v>0</v>
      </c>
      <c r="I341" s="689">
        <v>0</v>
      </c>
      <c r="J341" s="689">
        <v>0</v>
      </c>
      <c r="K341" s="689">
        <v>0</v>
      </c>
      <c r="L341" s="689">
        <v>0</v>
      </c>
      <c r="M341" s="689">
        <v>0</v>
      </c>
      <c r="N341" s="689">
        <v>0</v>
      </c>
      <c r="O341" s="689">
        <v>0</v>
      </c>
      <c r="P341" s="689">
        <v>0</v>
      </c>
      <c r="Q341" s="689">
        <v>0</v>
      </c>
      <c r="R341" s="689">
        <v>0</v>
      </c>
      <c r="S341" s="689">
        <v>0</v>
      </c>
      <c r="T341" s="902">
        <f>S341</f>
        <v>0</v>
      </c>
      <c r="U341" s="689">
        <f>S341</f>
        <v>0</v>
      </c>
      <c r="V341" s="689">
        <f t="shared" ref="V341:AG341" si="923">U341</f>
        <v>0</v>
      </c>
      <c r="W341" s="689">
        <f t="shared" si="923"/>
        <v>0</v>
      </c>
      <c r="X341" s="689">
        <f t="shared" si="923"/>
        <v>0</v>
      </c>
      <c r="Y341" s="689">
        <f t="shared" si="923"/>
        <v>0</v>
      </c>
      <c r="Z341" s="689">
        <f t="shared" si="923"/>
        <v>0</v>
      </c>
      <c r="AA341" s="689">
        <f t="shared" si="923"/>
        <v>0</v>
      </c>
      <c r="AB341" s="689">
        <f t="shared" si="923"/>
        <v>0</v>
      </c>
      <c r="AC341" s="689">
        <f t="shared" si="923"/>
        <v>0</v>
      </c>
      <c r="AD341" s="689">
        <f t="shared" si="923"/>
        <v>0</v>
      </c>
      <c r="AE341" s="689">
        <f t="shared" si="923"/>
        <v>0</v>
      </c>
      <c r="AF341" s="689">
        <f t="shared" si="923"/>
        <v>0</v>
      </c>
      <c r="AG341" s="902">
        <f t="shared" si="923"/>
        <v>0</v>
      </c>
      <c r="AH341" s="899">
        <f>AF341</f>
        <v>0</v>
      </c>
      <c r="AI341" s="899">
        <f t="shared" ref="AI341:AO341" si="924">AH341</f>
        <v>0</v>
      </c>
      <c r="AJ341" s="899">
        <f t="shared" si="924"/>
        <v>0</v>
      </c>
      <c r="AK341" s="899">
        <f t="shared" si="924"/>
        <v>0</v>
      </c>
      <c r="AL341" s="899">
        <f t="shared" si="924"/>
        <v>0</v>
      </c>
      <c r="AM341" s="899">
        <f t="shared" si="924"/>
        <v>0</v>
      </c>
      <c r="AN341" s="899">
        <f t="shared" si="924"/>
        <v>0</v>
      </c>
      <c r="AO341" s="1000">
        <f t="shared" si="924"/>
        <v>0</v>
      </c>
    </row>
    <row r="342" spans="1:42" s="18" customFormat="1" ht="13.15" customHeight="1" x14ac:dyDescent="0.2">
      <c r="A342" s="680" t="s">
        <v>252</v>
      </c>
      <c r="B342" s="680"/>
      <c r="C342" s="689">
        <v>0</v>
      </c>
      <c r="D342" s="689">
        <v>0</v>
      </c>
      <c r="E342" s="689">
        <v>0</v>
      </c>
      <c r="F342" s="689">
        <v>0</v>
      </c>
      <c r="G342" s="902">
        <f>SUM(C342:F342)</f>
        <v>0</v>
      </c>
      <c r="H342" s="689">
        <v>0</v>
      </c>
      <c r="I342" s="689">
        <v>0</v>
      </c>
      <c r="J342" s="689">
        <v>0</v>
      </c>
      <c r="K342" s="689">
        <v>0</v>
      </c>
      <c r="L342" s="689">
        <v>0</v>
      </c>
      <c r="M342" s="689">
        <v>0</v>
      </c>
      <c r="N342" s="689">
        <f t="shared" ref="N342:S342" si="925">300/12</f>
        <v>25</v>
      </c>
      <c r="O342" s="689">
        <f t="shared" si="925"/>
        <v>25</v>
      </c>
      <c r="P342" s="689">
        <f t="shared" si="925"/>
        <v>25</v>
      </c>
      <c r="Q342" s="689">
        <f t="shared" si="925"/>
        <v>25</v>
      </c>
      <c r="R342" s="689">
        <f t="shared" si="925"/>
        <v>25</v>
      </c>
      <c r="S342" s="689">
        <f t="shared" si="925"/>
        <v>25</v>
      </c>
      <c r="T342" s="917">
        <f>SUM(H342:S342)</f>
        <v>150</v>
      </c>
      <c r="U342" s="689">
        <f>300/12</f>
        <v>25</v>
      </c>
      <c r="V342" s="689">
        <f t="shared" ref="V342:AF342" si="926">300/12</f>
        <v>25</v>
      </c>
      <c r="W342" s="689">
        <f t="shared" si="926"/>
        <v>25</v>
      </c>
      <c r="X342" s="689">
        <f t="shared" si="926"/>
        <v>25</v>
      </c>
      <c r="Y342" s="689">
        <f t="shared" si="926"/>
        <v>25</v>
      </c>
      <c r="Z342" s="689">
        <f t="shared" si="926"/>
        <v>25</v>
      </c>
      <c r="AA342" s="689">
        <f t="shared" si="926"/>
        <v>25</v>
      </c>
      <c r="AB342" s="689">
        <f t="shared" si="926"/>
        <v>25</v>
      </c>
      <c r="AC342" s="689">
        <f t="shared" si="926"/>
        <v>25</v>
      </c>
      <c r="AD342" s="689">
        <f t="shared" si="926"/>
        <v>25</v>
      </c>
      <c r="AE342" s="689">
        <f t="shared" si="926"/>
        <v>25</v>
      </c>
      <c r="AF342" s="689">
        <f t="shared" si="926"/>
        <v>25</v>
      </c>
      <c r="AG342" s="917">
        <f>SUM(U342:AF342)</f>
        <v>300</v>
      </c>
      <c r="AH342" s="899">
        <v>300</v>
      </c>
      <c r="AI342" s="899">
        <v>300</v>
      </c>
      <c r="AJ342" s="899">
        <v>300</v>
      </c>
      <c r="AK342" s="899">
        <v>300</v>
      </c>
      <c r="AL342" s="899">
        <v>300</v>
      </c>
      <c r="AM342" s="899">
        <v>300</v>
      </c>
      <c r="AN342" s="899">
        <v>300</v>
      </c>
      <c r="AO342" s="1000">
        <v>300</v>
      </c>
    </row>
    <row r="343" spans="1:42" s="18" customFormat="1" ht="13.15" customHeight="1" x14ac:dyDescent="0.2">
      <c r="A343" s="680" t="s">
        <v>254</v>
      </c>
      <c r="B343" s="680"/>
      <c r="C343" s="690">
        <f t="shared" ref="C343:F343" si="927">C341*C342</f>
        <v>0</v>
      </c>
      <c r="D343" s="690">
        <f t="shared" si="927"/>
        <v>0</v>
      </c>
      <c r="E343" s="690">
        <f t="shared" si="927"/>
        <v>0</v>
      </c>
      <c r="F343" s="690">
        <f t="shared" si="927"/>
        <v>0</v>
      </c>
      <c r="G343" s="902">
        <f>SUM(C343:F343)</f>
        <v>0</v>
      </c>
      <c r="H343" s="690">
        <f t="shared" ref="H343:M343" si="928">H341*H342</f>
        <v>0</v>
      </c>
      <c r="I343" s="690">
        <f t="shared" si="928"/>
        <v>0</v>
      </c>
      <c r="J343" s="690">
        <f t="shared" si="928"/>
        <v>0</v>
      </c>
      <c r="K343" s="690">
        <f t="shared" si="928"/>
        <v>0</v>
      </c>
      <c r="L343" s="690">
        <f t="shared" si="928"/>
        <v>0</v>
      </c>
      <c r="M343" s="690">
        <f t="shared" si="928"/>
        <v>0</v>
      </c>
      <c r="N343" s="690">
        <f t="shared" ref="N343:S343" si="929">N341*N342</f>
        <v>0</v>
      </c>
      <c r="O343" s="690">
        <f t="shared" si="929"/>
        <v>0</v>
      </c>
      <c r="P343" s="690">
        <f t="shared" si="929"/>
        <v>0</v>
      </c>
      <c r="Q343" s="690">
        <f t="shared" si="929"/>
        <v>0</v>
      </c>
      <c r="R343" s="690">
        <f t="shared" si="929"/>
        <v>0</v>
      </c>
      <c r="S343" s="690">
        <f t="shared" si="929"/>
        <v>0</v>
      </c>
      <c r="T343" s="917">
        <f>SUM(H343:S343)</f>
        <v>0</v>
      </c>
      <c r="U343" s="690">
        <f t="shared" ref="U343:AF343" si="930">U341*U342</f>
        <v>0</v>
      </c>
      <c r="V343" s="690">
        <f t="shared" si="930"/>
        <v>0</v>
      </c>
      <c r="W343" s="690">
        <f t="shared" si="930"/>
        <v>0</v>
      </c>
      <c r="X343" s="690">
        <f t="shared" si="930"/>
        <v>0</v>
      </c>
      <c r="Y343" s="690">
        <f t="shared" si="930"/>
        <v>0</v>
      </c>
      <c r="Z343" s="690">
        <f t="shared" si="930"/>
        <v>0</v>
      </c>
      <c r="AA343" s="690">
        <f t="shared" si="930"/>
        <v>0</v>
      </c>
      <c r="AB343" s="690">
        <f t="shared" si="930"/>
        <v>0</v>
      </c>
      <c r="AC343" s="690">
        <f t="shared" si="930"/>
        <v>0</v>
      </c>
      <c r="AD343" s="690">
        <f t="shared" si="930"/>
        <v>0</v>
      </c>
      <c r="AE343" s="690">
        <f t="shared" si="930"/>
        <v>0</v>
      </c>
      <c r="AF343" s="690">
        <f t="shared" si="930"/>
        <v>0</v>
      </c>
      <c r="AG343" s="917">
        <f>SUM(U343:AF343)</f>
        <v>0</v>
      </c>
      <c r="AH343" s="902">
        <f t="shared" ref="AH343:AO343" si="931">AH341*AH342</f>
        <v>0</v>
      </c>
      <c r="AI343" s="902">
        <f t="shared" si="931"/>
        <v>0</v>
      </c>
      <c r="AJ343" s="902">
        <f t="shared" si="931"/>
        <v>0</v>
      </c>
      <c r="AK343" s="902">
        <f t="shared" si="931"/>
        <v>0</v>
      </c>
      <c r="AL343" s="902">
        <f t="shared" si="931"/>
        <v>0</v>
      </c>
      <c r="AM343" s="902">
        <f t="shared" si="931"/>
        <v>0</v>
      </c>
      <c r="AN343" s="902">
        <f t="shared" si="931"/>
        <v>0</v>
      </c>
      <c r="AO343" s="996">
        <f t="shared" si="931"/>
        <v>0</v>
      </c>
    </row>
    <row r="344" spans="1:42" s="18" customFormat="1" ht="13.15" customHeight="1" x14ac:dyDescent="0.2">
      <c r="A344" s="680" t="s">
        <v>249</v>
      </c>
      <c r="B344" s="680"/>
      <c r="C344" s="686">
        <f t="shared" ref="C344:F344" si="932">C332</f>
        <v>2</v>
      </c>
      <c r="D344" s="686">
        <f t="shared" si="932"/>
        <v>2</v>
      </c>
      <c r="E344" s="686">
        <f t="shared" si="932"/>
        <v>2</v>
      </c>
      <c r="F344" s="686">
        <f t="shared" si="932"/>
        <v>2</v>
      </c>
      <c r="G344" s="903">
        <f>F344</f>
        <v>2</v>
      </c>
      <c r="H344" s="686">
        <f t="shared" ref="H344:M344" si="933">H332</f>
        <v>2</v>
      </c>
      <c r="I344" s="686">
        <f t="shared" si="933"/>
        <v>2</v>
      </c>
      <c r="J344" s="686">
        <f t="shared" si="933"/>
        <v>2</v>
      </c>
      <c r="K344" s="686">
        <f t="shared" si="933"/>
        <v>2</v>
      </c>
      <c r="L344" s="686">
        <f t="shared" si="933"/>
        <v>2</v>
      </c>
      <c r="M344" s="686">
        <f t="shared" si="933"/>
        <v>2</v>
      </c>
      <c r="N344" s="686">
        <f t="shared" ref="N344:AO344" si="934">N332</f>
        <v>2</v>
      </c>
      <c r="O344" s="686">
        <f t="shared" si="934"/>
        <v>2</v>
      </c>
      <c r="P344" s="686">
        <f t="shared" si="934"/>
        <v>2</v>
      </c>
      <c r="Q344" s="686">
        <f t="shared" si="934"/>
        <v>2</v>
      </c>
      <c r="R344" s="686">
        <f t="shared" si="934"/>
        <v>2</v>
      </c>
      <c r="S344" s="686">
        <f t="shared" si="934"/>
        <v>2</v>
      </c>
      <c r="T344" s="919">
        <f t="shared" si="934"/>
        <v>2</v>
      </c>
      <c r="U344" s="686">
        <f t="shared" si="934"/>
        <v>2</v>
      </c>
      <c r="V344" s="686">
        <f t="shared" si="934"/>
        <v>2</v>
      </c>
      <c r="W344" s="686">
        <f t="shared" si="934"/>
        <v>2</v>
      </c>
      <c r="X344" s="686">
        <f t="shared" si="934"/>
        <v>2</v>
      </c>
      <c r="Y344" s="686">
        <f t="shared" si="934"/>
        <v>2</v>
      </c>
      <c r="Z344" s="686">
        <f t="shared" si="934"/>
        <v>2</v>
      </c>
      <c r="AA344" s="686">
        <f t="shared" si="934"/>
        <v>2</v>
      </c>
      <c r="AB344" s="686">
        <f t="shared" si="934"/>
        <v>2</v>
      </c>
      <c r="AC344" s="686">
        <f t="shared" si="934"/>
        <v>2</v>
      </c>
      <c r="AD344" s="686">
        <f t="shared" si="934"/>
        <v>2</v>
      </c>
      <c r="AE344" s="686">
        <f t="shared" si="934"/>
        <v>2</v>
      </c>
      <c r="AF344" s="686">
        <f t="shared" si="934"/>
        <v>2</v>
      </c>
      <c r="AG344" s="919">
        <f t="shared" si="934"/>
        <v>2</v>
      </c>
      <c r="AH344" s="919">
        <f t="shared" si="934"/>
        <v>2</v>
      </c>
      <c r="AI344" s="919">
        <f t="shared" si="934"/>
        <v>2</v>
      </c>
      <c r="AJ344" s="919">
        <f t="shared" si="934"/>
        <v>2</v>
      </c>
      <c r="AK344" s="919">
        <f t="shared" si="934"/>
        <v>2</v>
      </c>
      <c r="AL344" s="919">
        <f t="shared" si="934"/>
        <v>2</v>
      </c>
      <c r="AM344" s="919">
        <f t="shared" si="934"/>
        <v>2</v>
      </c>
      <c r="AN344" s="919">
        <f t="shared" si="934"/>
        <v>2</v>
      </c>
      <c r="AO344" s="998">
        <f t="shared" si="934"/>
        <v>2</v>
      </c>
    </row>
    <row r="345" spans="1:42" s="18" customFormat="1" ht="13.15" customHeight="1" x14ac:dyDescent="0.2">
      <c r="A345" s="680" t="s">
        <v>255</v>
      </c>
      <c r="B345" s="680"/>
      <c r="C345" s="690">
        <f t="shared" ref="C345:F345" si="935">C343*C344</f>
        <v>0</v>
      </c>
      <c r="D345" s="690">
        <f t="shared" si="935"/>
        <v>0</v>
      </c>
      <c r="E345" s="690">
        <f t="shared" si="935"/>
        <v>0</v>
      </c>
      <c r="F345" s="690">
        <f t="shared" si="935"/>
        <v>0</v>
      </c>
      <c r="G345" s="902">
        <f>SUM(C345:F345)</f>
        <v>0</v>
      </c>
      <c r="H345" s="690">
        <f t="shared" ref="H345:M345" si="936">H343*H344</f>
        <v>0</v>
      </c>
      <c r="I345" s="690">
        <f t="shared" si="936"/>
        <v>0</v>
      </c>
      <c r="J345" s="690">
        <f t="shared" si="936"/>
        <v>0</v>
      </c>
      <c r="K345" s="690">
        <f t="shared" si="936"/>
        <v>0</v>
      </c>
      <c r="L345" s="690">
        <f t="shared" si="936"/>
        <v>0</v>
      </c>
      <c r="M345" s="690">
        <f t="shared" si="936"/>
        <v>0</v>
      </c>
      <c r="N345" s="690">
        <f t="shared" ref="N345:S345" si="937">N343*N344</f>
        <v>0</v>
      </c>
      <c r="O345" s="690">
        <f t="shared" si="937"/>
        <v>0</v>
      </c>
      <c r="P345" s="690">
        <f t="shared" si="937"/>
        <v>0</v>
      </c>
      <c r="Q345" s="690">
        <f t="shared" si="937"/>
        <v>0</v>
      </c>
      <c r="R345" s="690">
        <f t="shared" si="937"/>
        <v>0</v>
      </c>
      <c r="S345" s="690">
        <f t="shared" si="937"/>
        <v>0</v>
      </c>
      <c r="T345" s="918">
        <f>SUM(H345:S345)</f>
        <v>0</v>
      </c>
      <c r="U345" s="690">
        <f t="shared" ref="U345:AF345" si="938">U343*U344</f>
        <v>0</v>
      </c>
      <c r="V345" s="690">
        <f t="shared" si="938"/>
        <v>0</v>
      </c>
      <c r="W345" s="690">
        <f t="shared" si="938"/>
        <v>0</v>
      </c>
      <c r="X345" s="690">
        <f t="shared" si="938"/>
        <v>0</v>
      </c>
      <c r="Y345" s="690">
        <f t="shared" si="938"/>
        <v>0</v>
      </c>
      <c r="Z345" s="690">
        <f t="shared" si="938"/>
        <v>0</v>
      </c>
      <c r="AA345" s="690">
        <f t="shared" si="938"/>
        <v>0</v>
      </c>
      <c r="AB345" s="690">
        <f t="shared" si="938"/>
        <v>0</v>
      </c>
      <c r="AC345" s="690">
        <f t="shared" si="938"/>
        <v>0</v>
      </c>
      <c r="AD345" s="690">
        <f t="shared" si="938"/>
        <v>0</v>
      </c>
      <c r="AE345" s="690">
        <f t="shared" si="938"/>
        <v>0</v>
      </c>
      <c r="AF345" s="690">
        <f t="shared" si="938"/>
        <v>0</v>
      </c>
      <c r="AG345" s="918">
        <f>SUM(U345:AF345)</f>
        <v>0</v>
      </c>
      <c r="AH345" s="902">
        <f t="shared" ref="AH345:AO345" si="939">AH343*AH344</f>
        <v>0</v>
      </c>
      <c r="AI345" s="902">
        <f t="shared" si="939"/>
        <v>0</v>
      </c>
      <c r="AJ345" s="902">
        <f t="shared" si="939"/>
        <v>0</v>
      </c>
      <c r="AK345" s="902">
        <f t="shared" si="939"/>
        <v>0</v>
      </c>
      <c r="AL345" s="902">
        <f t="shared" si="939"/>
        <v>0</v>
      </c>
      <c r="AM345" s="902">
        <f t="shared" si="939"/>
        <v>0</v>
      </c>
      <c r="AN345" s="902">
        <f t="shared" si="939"/>
        <v>0</v>
      </c>
      <c r="AO345" s="996">
        <f t="shared" si="939"/>
        <v>0</v>
      </c>
    </row>
    <row r="346" spans="1:42" s="18" customFormat="1" ht="13.15" customHeight="1" x14ac:dyDescent="0.2">
      <c r="A346" s="680"/>
      <c r="B346" s="680"/>
      <c r="C346" s="682"/>
      <c r="D346" s="682"/>
      <c r="E346" s="682"/>
      <c r="F346" s="682"/>
      <c r="G346" s="900"/>
      <c r="H346" s="682"/>
      <c r="I346" s="682"/>
      <c r="J346" s="682"/>
      <c r="K346" s="682"/>
      <c r="L346" s="682"/>
      <c r="M346" s="682"/>
      <c r="N346" s="682"/>
      <c r="O346" s="682"/>
      <c r="P346" s="682"/>
      <c r="Q346" s="682"/>
      <c r="R346" s="682"/>
      <c r="S346" s="682"/>
      <c r="T346" s="917"/>
      <c r="U346" s="682"/>
      <c r="V346" s="682"/>
      <c r="W346" s="682"/>
      <c r="X346" s="682"/>
      <c r="Y346" s="682"/>
      <c r="Z346" s="682"/>
      <c r="AA346" s="682"/>
      <c r="AB346" s="682"/>
      <c r="AC346" s="682"/>
      <c r="AD346" s="682"/>
      <c r="AE346" s="682"/>
      <c r="AF346" s="682"/>
      <c r="AG346" s="917"/>
      <c r="AH346" s="917"/>
      <c r="AI346" s="917"/>
      <c r="AJ346" s="917"/>
      <c r="AK346" s="924"/>
      <c r="AL346" s="924"/>
      <c r="AM346" s="924"/>
      <c r="AN346" s="924"/>
      <c r="AO346" s="995"/>
    </row>
    <row r="347" spans="1:42" s="277" customFormat="1" ht="13.15" customHeight="1" x14ac:dyDescent="0.2">
      <c r="A347" s="676" t="s">
        <v>257</v>
      </c>
      <c r="B347" s="676"/>
      <c r="C347" s="694">
        <f t="shared" ref="C347:F347" si="940">C333+C339+C345</f>
        <v>0</v>
      </c>
      <c r="D347" s="694">
        <f t="shared" si="940"/>
        <v>0</v>
      </c>
      <c r="E347" s="694">
        <f t="shared" si="940"/>
        <v>0</v>
      </c>
      <c r="F347" s="694">
        <f t="shared" si="940"/>
        <v>0</v>
      </c>
      <c r="G347" s="904">
        <f>SUM(C347:F347)</f>
        <v>0</v>
      </c>
      <c r="H347" s="694">
        <f t="shared" ref="H347:M347" si="941">H333+H339+H345</f>
        <v>0</v>
      </c>
      <c r="I347" s="694">
        <f t="shared" si="941"/>
        <v>0</v>
      </c>
      <c r="J347" s="694">
        <f t="shared" si="941"/>
        <v>0</v>
      </c>
      <c r="K347" s="694">
        <f t="shared" si="941"/>
        <v>0</v>
      </c>
      <c r="L347" s="694">
        <f t="shared" si="941"/>
        <v>0</v>
      </c>
      <c r="M347" s="694">
        <f t="shared" si="941"/>
        <v>0</v>
      </c>
      <c r="N347" s="694">
        <f t="shared" ref="N347:S347" si="942">N333+N339+N345</f>
        <v>0</v>
      </c>
      <c r="O347" s="694">
        <f t="shared" si="942"/>
        <v>0</v>
      </c>
      <c r="P347" s="694">
        <f t="shared" si="942"/>
        <v>0</v>
      </c>
      <c r="Q347" s="694">
        <f t="shared" si="942"/>
        <v>0</v>
      </c>
      <c r="R347" s="694">
        <f t="shared" si="942"/>
        <v>0</v>
      </c>
      <c r="S347" s="694">
        <f t="shared" si="942"/>
        <v>0</v>
      </c>
      <c r="T347" s="915">
        <f>SUM(H347:S347)</f>
        <v>0</v>
      </c>
      <c r="U347" s="694">
        <f t="shared" ref="U347:AF347" si="943">U333+U339+U345</f>
        <v>0</v>
      </c>
      <c r="V347" s="694">
        <f t="shared" si="943"/>
        <v>0</v>
      </c>
      <c r="W347" s="694">
        <f t="shared" si="943"/>
        <v>0</v>
      </c>
      <c r="X347" s="694">
        <f t="shared" si="943"/>
        <v>0</v>
      </c>
      <c r="Y347" s="694">
        <f t="shared" si="943"/>
        <v>0</v>
      </c>
      <c r="Z347" s="694">
        <f t="shared" si="943"/>
        <v>0</v>
      </c>
      <c r="AA347" s="694">
        <f t="shared" si="943"/>
        <v>0</v>
      </c>
      <c r="AB347" s="694">
        <f t="shared" si="943"/>
        <v>0</v>
      </c>
      <c r="AC347" s="694">
        <f t="shared" si="943"/>
        <v>0</v>
      </c>
      <c r="AD347" s="694">
        <f t="shared" si="943"/>
        <v>0</v>
      </c>
      <c r="AE347" s="694">
        <f t="shared" si="943"/>
        <v>0</v>
      </c>
      <c r="AF347" s="694">
        <f t="shared" si="943"/>
        <v>0</v>
      </c>
      <c r="AG347" s="904">
        <f>SUM(U347:AF347)</f>
        <v>0</v>
      </c>
      <c r="AH347" s="904">
        <f t="shared" ref="AH347:AO347" si="944">AH333+AH339+AH345</f>
        <v>0</v>
      </c>
      <c r="AI347" s="904">
        <f t="shared" si="944"/>
        <v>120.393</v>
      </c>
      <c r="AJ347" s="904">
        <f t="shared" si="944"/>
        <v>496.01916</v>
      </c>
      <c r="AK347" s="904">
        <f t="shared" si="944"/>
        <v>1138.3639722</v>
      </c>
      <c r="AL347" s="904">
        <f t="shared" si="944"/>
        <v>2299.4952238440001</v>
      </c>
      <c r="AM347" s="904">
        <f t="shared" si="944"/>
        <v>3875.0752846260007</v>
      </c>
      <c r="AN347" s="904">
        <f t="shared" si="944"/>
        <v>5109.9893863200004</v>
      </c>
      <c r="AO347" s="1001">
        <f t="shared" si="944"/>
        <v>5961.6542840400016</v>
      </c>
    </row>
    <row r="348" spans="1:42" s="18" customFormat="1" ht="13.15" customHeight="1" x14ac:dyDescent="0.2">
      <c r="A348" s="680"/>
      <c r="B348" s="680"/>
      <c r="C348" s="682"/>
      <c r="D348" s="682"/>
      <c r="E348" s="682"/>
      <c r="F348" s="682"/>
      <c r="G348" s="900"/>
      <c r="H348" s="682"/>
      <c r="I348" s="682"/>
      <c r="J348" s="682"/>
      <c r="K348" s="682"/>
      <c r="L348" s="682"/>
      <c r="M348" s="682"/>
      <c r="N348" s="682"/>
      <c r="O348" s="682"/>
      <c r="P348" s="682"/>
      <c r="Q348" s="682"/>
      <c r="R348" s="682"/>
      <c r="S348" s="682"/>
      <c r="T348" s="917"/>
      <c r="U348" s="682"/>
      <c r="V348" s="682"/>
      <c r="W348" s="682"/>
      <c r="X348" s="682"/>
      <c r="Y348" s="682"/>
      <c r="Z348" s="682"/>
      <c r="AA348" s="682"/>
      <c r="AB348" s="682"/>
      <c r="AC348" s="682"/>
      <c r="AD348" s="682"/>
      <c r="AE348" s="682"/>
      <c r="AF348" s="682"/>
      <c r="AG348" s="917"/>
      <c r="AH348" s="917"/>
      <c r="AI348" s="917"/>
      <c r="AJ348" s="917"/>
      <c r="AK348" s="924"/>
      <c r="AL348" s="924"/>
      <c r="AM348" s="924"/>
      <c r="AN348" s="924"/>
      <c r="AO348" s="995"/>
    </row>
    <row r="349" spans="1:42" s="18" customFormat="1" ht="13.15" customHeight="1" x14ac:dyDescent="0.2">
      <c r="A349" s="680" t="s">
        <v>258</v>
      </c>
      <c r="B349" s="680"/>
      <c r="C349" s="767">
        <f t="shared" ref="C349:F349" si="945">C268</f>
        <v>300</v>
      </c>
      <c r="D349" s="767">
        <f t="shared" si="945"/>
        <v>300</v>
      </c>
      <c r="E349" s="767">
        <f t="shared" si="945"/>
        <v>300</v>
      </c>
      <c r="F349" s="767">
        <f t="shared" si="945"/>
        <v>300</v>
      </c>
      <c r="G349" s="905">
        <f>F349</f>
        <v>300</v>
      </c>
      <c r="H349" s="767">
        <f t="shared" ref="H349:M349" si="946">H268</f>
        <v>300</v>
      </c>
      <c r="I349" s="767">
        <f t="shared" si="946"/>
        <v>300</v>
      </c>
      <c r="J349" s="767">
        <f t="shared" si="946"/>
        <v>300</v>
      </c>
      <c r="K349" s="767">
        <f t="shared" si="946"/>
        <v>300</v>
      </c>
      <c r="L349" s="767">
        <f t="shared" si="946"/>
        <v>300</v>
      </c>
      <c r="M349" s="767">
        <f t="shared" si="946"/>
        <v>300</v>
      </c>
      <c r="N349" s="767">
        <f t="shared" ref="N349:AO349" si="947">N$25</f>
        <v>300</v>
      </c>
      <c r="O349" s="767">
        <f t="shared" si="947"/>
        <v>300</v>
      </c>
      <c r="P349" s="767">
        <f t="shared" si="947"/>
        <v>300</v>
      </c>
      <c r="Q349" s="767">
        <f t="shared" si="947"/>
        <v>300</v>
      </c>
      <c r="R349" s="767">
        <f t="shared" si="947"/>
        <v>300</v>
      </c>
      <c r="S349" s="767">
        <f t="shared" si="947"/>
        <v>300</v>
      </c>
      <c r="T349" s="905">
        <f t="shared" si="947"/>
        <v>300</v>
      </c>
      <c r="U349" s="767">
        <f t="shared" si="947"/>
        <v>300</v>
      </c>
      <c r="V349" s="767">
        <f t="shared" si="947"/>
        <v>300</v>
      </c>
      <c r="W349" s="767">
        <f t="shared" si="947"/>
        <v>300</v>
      </c>
      <c r="X349" s="767">
        <f t="shared" si="947"/>
        <v>300</v>
      </c>
      <c r="Y349" s="767">
        <f t="shared" si="947"/>
        <v>300</v>
      </c>
      <c r="Z349" s="767">
        <f t="shared" si="947"/>
        <v>300</v>
      </c>
      <c r="AA349" s="767">
        <f t="shared" si="947"/>
        <v>300</v>
      </c>
      <c r="AB349" s="767">
        <f t="shared" si="947"/>
        <v>300</v>
      </c>
      <c r="AC349" s="767">
        <f t="shared" si="947"/>
        <v>300</v>
      </c>
      <c r="AD349" s="767">
        <f t="shared" si="947"/>
        <v>300</v>
      </c>
      <c r="AE349" s="767">
        <f t="shared" si="947"/>
        <v>300</v>
      </c>
      <c r="AF349" s="767">
        <f t="shared" si="947"/>
        <v>300</v>
      </c>
      <c r="AG349" s="905">
        <f t="shared" si="947"/>
        <v>300</v>
      </c>
      <c r="AH349" s="905">
        <f t="shared" si="947"/>
        <v>300</v>
      </c>
      <c r="AI349" s="905">
        <f t="shared" si="947"/>
        <v>300</v>
      </c>
      <c r="AJ349" s="905">
        <f t="shared" si="947"/>
        <v>300</v>
      </c>
      <c r="AK349" s="905">
        <f t="shared" si="947"/>
        <v>300</v>
      </c>
      <c r="AL349" s="905">
        <f t="shared" si="947"/>
        <v>300</v>
      </c>
      <c r="AM349" s="905">
        <f t="shared" si="947"/>
        <v>300</v>
      </c>
      <c r="AN349" s="905">
        <f t="shared" si="947"/>
        <v>300</v>
      </c>
      <c r="AO349" s="1002">
        <f t="shared" si="947"/>
        <v>300</v>
      </c>
      <c r="AP349" s="988"/>
    </row>
    <row r="350" spans="1:42" s="18" customFormat="1" ht="13.15" customHeight="1" x14ac:dyDescent="0.2">
      <c r="A350" s="680"/>
      <c r="B350" s="680"/>
      <c r="C350" s="682"/>
      <c r="D350" s="682"/>
      <c r="E350" s="682"/>
      <c r="F350" s="682"/>
      <c r="G350" s="900"/>
      <c r="H350" s="682"/>
      <c r="I350" s="682"/>
      <c r="J350" s="682"/>
      <c r="K350" s="682"/>
      <c r="L350" s="682"/>
      <c r="M350" s="682"/>
      <c r="N350" s="682"/>
      <c r="O350" s="682"/>
      <c r="P350" s="682"/>
      <c r="Q350" s="682"/>
      <c r="R350" s="682"/>
      <c r="S350" s="682"/>
      <c r="T350" s="917"/>
      <c r="U350" s="682"/>
      <c r="V350" s="682"/>
      <c r="W350" s="682"/>
      <c r="X350" s="682"/>
      <c r="Y350" s="682"/>
      <c r="Z350" s="682"/>
      <c r="AA350" s="682"/>
      <c r="AB350" s="682"/>
      <c r="AC350" s="682"/>
      <c r="AD350" s="682"/>
      <c r="AE350" s="682"/>
      <c r="AF350" s="682"/>
      <c r="AG350" s="917"/>
      <c r="AH350" s="917"/>
      <c r="AI350" s="917"/>
      <c r="AJ350" s="917"/>
      <c r="AK350" s="924"/>
      <c r="AL350" s="924"/>
      <c r="AM350" s="924"/>
      <c r="AN350" s="924"/>
      <c r="AO350" s="995"/>
    </row>
    <row r="351" spans="1:42" s="794" customFormat="1" ht="13.15" customHeight="1" x14ac:dyDescent="0.2">
      <c r="A351" s="763" t="s">
        <v>426</v>
      </c>
      <c r="B351" s="763"/>
      <c r="C351" s="765">
        <f t="shared" ref="C351:F351" si="948">C347*C349</f>
        <v>0</v>
      </c>
      <c r="D351" s="765">
        <f t="shared" si="948"/>
        <v>0</v>
      </c>
      <c r="E351" s="765">
        <f t="shared" si="948"/>
        <v>0</v>
      </c>
      <c r="F351" s="765">
        <f t="shared" si="948"/>
        <v>0</v>
      </c>
      <c r="G351" s="906">
        <f>SUM(C351:F351)</f>
        <v>0</v>
      </c>
      <c r="H351" s="765">
        <f t="shared" ref="H351:M351" si="949">H347*H349</f>
        <v>0</v>
      </c>
      <c r="I351" s="765">
        <f t="shared" si="949"/>
        <v>0</v>
      </c>
      <c r="J351" s="765">
        <f t="shared" si="949"/>
        <v>0</v>
      </c>
      <c r="K351" s="765">
        <f t="shared" si="949"/>
        <v>0</v>
      </c>
      <c r="L351" s="765">
        <f t="shared" si="949"/>
        <v>0</v>
      </c>
      <c r="M351" s="765">
        <f t="shared" si="949"/>
        <v>0</v>
      </c>
      <c r="N351" s="765">
        <f t="shared" ref="N351:S351" si="950">N347*N349</f>
        <v>0</v>
      </c>
      <c r="O351" s="765">
        <f t="shared" si="950"/>
        <v>0</v>
      </c>
      <c r="P351" s="765">
        <f t="shared" si="950"/>
        <v>0</v>
      </c>
      <c r="Q351" s="765">
        <f t="shared" si="950"/>
        <v>0</v>
      </c>
      <c r="R351" s="765">
        <f t="shared" si="950"/>
        <v>0</v>
      </c>
      <c r="S351" s="765">
        <f t="shared" si="950"/>
        <v>0</v>
      </c>
      <c r="T351" s="906">
        <f>SUM(H351:S351)</f>
        <v>0</v>
      </c>
      <c r="U351" s="765">
        <f>U347*U349</f>
        <v>0</v>
      </c>
      <c r="V351" s="765">
        <f t="shared" ref="V351:AF351" si="951">V347*V349</f>
        <v>0</v>
      </c>
      <c r="W351" s="765">
        <f t="shared" si="951"/>
        <v>0</v>
      </c>
      <c r="X351" s="765">
        <f t="shared" si="951"/>
        <v>0</v>
      </c>
      <c r="Y351" s="765">
        <f t="shared" si="951"/>
        <v>0</v>
      </c>
      <c r="Z351" s="765">
        <f t="shared" si="951"/>
        <v>0</v>
      </c>
      <c r="AA351" s="765">
        <f t="shared" si="951"/>
        <v>0</v>
      </c>
      <c r="AB351" s="765">
        <f t="shared" si="951"/>
        <v>0</v>
      </c>
      <c r="AC351" s="765">
        <f t="shared" si="951"/>
        <v>0</v>
      </c>
      <c r="AD351" s="765">
        <f t="shared" si="951"/>
        <v>0</v>
      </c>
      <c r="AE351" s="765">
        <f t="shared" si="951"/>
        <v>0</v>
      </c>
      <c r="AF351" s="765">
        <f t="shared" si="951"/>
        <v>0</v>
      </c>
      <c r="AG351" s="906">
        <f>SUM(U351:AF351)</f>
        <v>0</v>
      </c>
      <c r="AH351" s="906">
        <f t="shared" ref="AH351:AO351" si="952">AH347*AH349</f>
        <v>0</v>
      </c>
      <c r="AI351" s="906">
        <f t="shared" si="952"/>
        <v>36117.9</v>
      </c>
      <c r="AJ351" s="906">
        <f t="shared" si="952"/>
        <v>148805.74799999999</v>
      </c>
      <c r="AK351" s="906">
        <f t="shared" si="952"/>
        <v>341509.19166000001</v>
      </c>
      <c r="AL351" s="906">
        <f t="shared" si="952"/>
        <v>689848.56715320004</v>
      </c>
      <c r="AM351" s="906">
        <f t="shared" si="952"/>
        <v>1162522.5853878001</v>
      </c>
      <c r="AN351" s="906">
        <f t="shared" si="952"/>
        <v>1532996.8158960002</v>
      </c>
      <c r="AO351" s="1003">
        <f t="shared" si="952"/>
        <v>1788496.2852120004</v>
      </c>
      <c r="AP351" s="277"/>
    </row>
    <row r="352" spans="1:42" s="18" customFormat="1" ht="13.15" customHeight="1" x14ac:dyDescent="0.2">
      <c r="A352" s="680"/>
      <c r="B352" s="680"/>
      <c r="C352" s="680"/>
      <c r="D352" s="680"/>
      <c r="E352" s="680"/>
      <c r="F352" s="680"/>
      <c r="G352" s="900"/>
      <c r="H352" s="682"/>
      <c r="I352" s="682"/>
      <c r="J352" s="682"/>
      <c r="K352" s="682"/>
      <c r="L352" s="682"/>
      <c r="M352" s="682"/>
      <c r="N352" s="682"/>
      <c r="O352" s="682"/>
      <c r="P352" s="682"/>
      <c r="Q352" s="682"/>
      <c r="R352" s="682"/>
      <c r="S352" s="682"/>
      <c r="T352" s="917"/>
      <c r="U352" s="682"/>
      <c r="V352" s="682"/>
      <c r="W352" s="682"/>
      <c r="X352" s="682"/>
      <c r="Y352" s="682"/>
      <c r="Z352" s="682"/>
      <c r="AA352" s="682"/>
      <c r="AB352" s="682"/>
      <c r="AC352" s="682"/>
      <c r="AD352" s="682"/>
      <c r="AE352" s="682"/>
      <c r="AF352" s="682"/>
      <c r="AG352" s="917"/>
      <c r="AH352" s="917"/>
      <c r="AI352" s="917"/>
      <c r="AJ352" s="917"/>
      <c r="AK352" s="924"/>
      <c r="AL352" s="924"/>
      <c r="AM352" s="924"/>
      <c r="AN352" s="924"/>
      <c r="AO352" s="995"/>
    </row>
    <row r="353" spans="1:42" s="18" customFormat="1" ht="13.15" customHeight="1" x14ac:dyDescent="0.2">
      <c r="A353" s="680"/>
      <c r="B353" s="680"/>
      <c r="C353" s="680"/>
      <c r="D353" s="680"/>
      <c r="E353" s="680"/>
      <c r="F353" s="680"/>
      <c r="G353" s="900"/>
      <c r="H353" s="682"/>
      <c r="I353" s="682"/>
      <c r="J353" s="682"/>
      <c r="K353" s="682"/>
      <c r="L353" s="682"/>
      <c r="M353" s="682"/>
      <c r="N353" s="682"/>
      <c r="O353" s="682"/>
      <c r="P353" s="682"/>
      <c r="Q353" s="682"/>
      <c r="R353" s="682"/>
      <c r="S353" s="682"/>
      <c r="T353" s="917"/>
      <c r="U353" s="682"/>
      <c r="V353" s="682"/>
      <c r="W353" s="682"/>
      <c r="X353" s="682"/>
      <c r="Y353" s="682"/>
      <c r="Z353" s="682"/>
      <c r="AA353" s="682"/>
      <c r="AB353" s="682"/>
      <c r="AC353" s="682"/>
      <c r="AD353" s="682"/>
      <c r="AE353" s="682"/>
      <c r="AF353" s="682"/>
      <c r="AG353" s="917"/>
      <c r="AH353" s="917"/>
      <c r="AI353" s="917"/>
      <c r="AJ353" s="917"/>
      <c r="AK353" s="924"/>
      <c r="AL353" s="924"/>
      <c r="AM353" s="924"/>
      <c r="AN353" s="924"/>
      <c r="AO353" s="995"/>
    </row>
    <row r="354" spans="1:42" s="18" customFormat="1" ht="13.15" customHeight="1" x14ac:dyDescent="0.2">
      <c r="A354" s="676" t="s">
        <v>453</v>
      </c>
      <c r="B354" s="676"/>
      <c r="C354" s="676"/>
      <c r="D354" s="676"/>
      <c r="E354" s="676"/>
      <c r="F354" s="676"/>
      <c r="G354" s="898"/>
      <c r="H354" s="678"/>
      <c r="I354" s="678"/>
      <c r="J354" s="678"/>
      <c r="K354" s="678"/>
      <c r="L354" s="678"/>
      <c r="M354" s="678"/>
      <c r="N354" s="678"/>
      <c r="O354" s="678"/>
      <c r="P354" s="678"/>
      <c r="Q354" s="678"/>
      <c r="R354" s="678"/>
      <c r="S354" s="678"/>
      <c r="T354" s="915"/>
      <c r="U354" s="678"/>
      <c r="V354" s="678"/>
      <c r="W354" s="678"/>
      <c r="X354" s="678"/>
      <c r="Y354" s="678"/>
      <c r="Z354" s="678"/>
      <c r="AA354" s="678"/>
      <c r="AB354" s="678"/>
      <c r="AC354" s="678"/>
      <c r="AD354" s="678"/>
      <c r="AE354" s="678"/>
      <c r="AF354" s="678"/>
      <c r="AG354" s="915"/>
      <c r="AH354" s="915"/>
      <c r="AI354" s="915"/>
      <c r="AJ354" s="915"/>
      <c r="AK354" s="924"/>
      <c r="AL354" s="924"/>
      <c r="AM354" s="924"/>
      <c r="AN354" s="924"/>
      <c r="AO354" s="995"/>
    </row>
    <row r="355" spans="1:42" s="18" customFormat="1" ht="13.15" customHeight="1" x14ac:dyDescent="0.2">
      <c r="A355" s="674" t="s">
        <v>250</v>
      </c>
      <c r="B355" s="674"/>
      <c r="C355" s="690">
        <f>$G355/12</f>
        <v>833.33333333333337</v>
      </c>
      <c r="D355" s="690">
        <f t="shared" ref="D355:F355" si="953">$G355/12</f>
        <v>833.33333333333337</v>
      </c>
      <c r="E355" s="690">
        <f t="shared" si="953"/>
        <v>833.33333333333337</v>
      </c>
      <c r="F355" s="690">
        <f t="shared" si="953"/>
        <v>833.33333333333337</v>
      </c>
      <c r="G355" s="899">
        <v>10000</v>
      </c>
      <c r="H355" s="690">
        <f t="shared" ref="H355:M355" si="954">$T355/12</f>
        <v>833.33333333333337</v>
      </c>
      <c r="I355" s="690">
        <f t="shared" si="954"/>
        <v>833.33333333333337</v>
      </c>
      <c r="J355" s="690">
        <f t="shared" si="954"/>
        <v>833.33333333333337</v>
      </c>
      <c r="K355" s="690">
        <f t="shared" si="954"/>
        <v>833.33333333333337</v>
      </c>
      <c r="L355" s="690">
        <f t="shared" si="954"/>
        <v>833.33333333333337</v>
      </c>
      <c r="M355" s="690">
        <f t="shared" si="954"/>
        <v>833.33333333333337</v>
      </c>
      <c r="N355" s="690">
        <f t="shared" ref="N355:S355" si="955">$T355/12</f>
        <v>833.33333333333337</v>
      </c>
      <c r="O355" s="690">
        <f t="shared" si="955"/>
        <v>833.33333333333337</v>
      </c>
      <c r="P355" s="690">
        <f t="shared" si="955"/>
        <v>833.33333333333337</v>
      </c>
      <c r="Q355" s="690">
        <f t="shared" si="955"/>
        <v>833.33333333333337</v>
      </c>
      <c r="R355" s="690">
        <f t="shared" si="955"/>
        <v>833.33333333333337</v>
      </c>
      <c r="S355" s="690">
        <f t="shared" si="955"/>
        <v>833.33333333333337</v>
      </c>
      <c r="T355" s="899">
        <v>10000</v>
      </c>
      <c r="U355" s="690">
        <f>$AG355/12</f>
        <v>875</v>
      </c>
      <c r="V355" s="690">
        <f t="shared" ref="V355:AF355" si="956">$AG355/12</f>
        <v>875</v>
      </c>
      <c r="W355" s="690">
        <f t="shared" si="956"/>
        <v>875</v>
      </c>
      <c r="X355" s="690">
        <f t="shared" si="956"/>
        <v>875</v>
      </c>
      <c r="Y355" s="690">
        <f t="shared" si="956"/>
        <v>875</v>
      </c>
      <c r="Z355" s="690">
        <f t="shared" si="956"/>
        <v>875</v>
      </c>
      <c r="AA355" s="690">
        <f t="shared" si="956"/>
        <v>875</v>
      </c>
      <c r="AB355" s="690">
        <f t="shared" si="956"/>
        <v>875</v>
      </c>
      <c r="AC355" s="690">
        <f t="shared" si="956"/>
        <v>875</v>
      </c>
      <c r="AD355" s="690">
        <f t="shared" si="956"/>
        <v>875</v>
      </c>
      <c r="AE355" s="690">
        <f t="shared" si="956"/>
        <v>875</v>
      </c>
      <c r="AF355" s="690">
        <f t="shared" si="956"/>
        <v>875</v>
      </c>
      <c r="AG355" s="902">
        <f>T355*(1+AG356)</f>
        <v>10500</v>
      </c>
      <c r="AH355" s="902">
        <f t="shared" ref="AH355:AO355" si="957">AG355*(1+AH356)</f>
        <v>11025</v>
      </c>
      <c r="AI355" s="902">
        <f t="shared" si="957"/>
        <v>11466</v>
      </c>
      <c r="AJ355" s="902">
        <f t="shared" si="957"/>
        <v>11809.98</v>
      </c>
      <c r="AK355" s="902">
        <f t="shared" si="957"/>
        <v>12046.179599999999</v>
      </c>
      <c r="AL355" s="902">
        <f t="shared" si="957"/>
        <v>12166.641395999999</v>
      </c>
      <c r="AM355" s="902">
        <f t="shared" si="957"/>
        <v>12166.641395999999</v>
      </c>
      <c r="AN355" s="902">
        <f t="shared" si="957"/>
        <v>12166.641395999999</v>
      </c>
      <c r="AO355" s="996">
        <f t="shared" si="957"/>
        <v>12166.641395999999</v>
      </c>
    </row>
    <row r="356" spans="1:42" s="987" customFormat="1" ht="13.15" customHeight="1" x14ac:dyDescent="0.2">
      <c r="A356" s="680" t="s">
        <v>324</v>
      </c>
      <c r="B356" s="680"/>
      <c r="C356" s="687"/>
      <c r="D356" s="687"/>
      <c r="E356" s="687"/>
      <c r="F356" s="687"/>
      <c r="G356" s="900"/>
      <c r="H356" s="687"/>
      <c r="I356" s="687"/>
      <c r="J356" s="687"/>
      <c r="K356" s="687"/>
      <c r="L356" s="687"/>
      <c r="M356" s="687"/>
      <c r="N356" s="687"/>
      <c r="O356" s="687"/>
      <c r="P356" s="687"/>
      <c r="Q356" s="687"/>
      <c r="R356" s="687"/>
      <c r="S356" s="687"/>
      <c r="T356" s="916"/>
      <c r="U356" s="687"/>
      <c r="V356" s="687"/>
      <c r="W356" s="687"/>
      <c r="X356" s="687"/>
      <c r="Y356" s="687"/>
      <c r="Z356" s="687"/>
      <c r="AA356" s="687"/>
      <c r="AB356" s="687"/>
      <c r="AC356" s="687"/>
      <c r="AD356" s="687"/>
      <c r="AE356" s="687"/>
      <c r="AF356" s="687"/>
      <c r="AG356" s="921">
        <v>0.05</v>
      </c>
      <c r="AH356" s="921">
        <v>0.05</v>
      </c>
      <c r="AI356" s="921">
        <f>AH356-1%</f>
        <v>0.04</v>
      </c>
      <c r="AJ356" s="921">
        <f>AI356-1%</f>
        <v>0.03</v>
      </c>
      <c r="AK356" s="921">
        <f>AJ356-1%</f>
        <v>1.9999999999999997E-2</v>
      </c>
      <c r="AL356" s="921">
        <f>AK356-1%</f>
        <v>9.9999999999999967E-3</v>
      </c>
      <c r="AM356" s="921">
        <f>AL356-1%</f>
        <v>0</v>
      </c>
      <c r="AN356" s="925">
        <f>AM356</f>
        <v>0</v>
      </c>
      <c r="AO356" s="997">
        <f>AN356</f>
        <v>0</v>
      </c>
    </row>
    <row r="357" spans="1:42" s="987" customFormat="1" ht="13.15" customHeight="1" x14ac:dyDescent="0.2">
      <c r="A357" s="680" t="s">
        <v>248</v>
      </c>
      <c r="B357" s="680"/>
      <c r="C357" s="687">
        <f t="shared" ref="C357:F357" si="958">C330</f>
        <v>0</v>
      </c>
      <c r="D357" s="687">
        <f t="shared" si="958"/>
        <v>0</v>
      </c>
      <c r="E357" s="687">
        <f t="shared" si="958"/>
        <v>0</v>
      </c>
      <c r="F357" s="687">
        <f t="shared" si="958"/>
        <v>0</v>
      </c>
      <c r="G357" s="900">
        <f>F357</f>
        <v>0</v>
      </c>
      <c r="H357" s="687">
        <f t="shared" ref="H357:M357" si="959">H330</f>
        <v>0</v>
      </c>
      <c r="I357" s="687">
        <f t="shared" si="959"/>
        <v>0</v>
      </c>
      <c r="J357" s="687">
        <f t="shared" si="959"/>
        <v>0</v>
      </c>
      <c r="K357" s="687">
        <f t="shared" si="959"/>
        <v>0</v>
      </c>
      <c r="L357" s="687">
        <f t="shared" si="959"/>
        <v>0</v>
      </c>
      <c r="M357" s="687">
        <f t="shared" si="959"/>
        <v>0</v>
      </c>
      <c r="N357" s="687">
        <f t="shared" ref="N357:S357" si="960">N330</f>
        <v>0</v>
      </c>
      <c r="O357" s="687">
        <f t="shared" si="960"/>
        <v>0</v>
      </c>
      <c r="P357" s="687">
        <f t="shared" si="960"/>
        <v>0</v>
      </c>
      <c r="Q357" s="687">
        <f t="shared" si="960"/>
        <v>0</v>
      </c>
      <c r="R357" s="687">
        <f t="shared" si="960"/>
        <v>0</v>
      </c>
      <c r="S357" s="687">
        <f t="shared" si="960"/>
        <v>0</v>
      </c>
      <c r="T357" s="916">
        <f>S357</f>
        <v>0</v>
      </c>
      <c r="U357" s="687">
        <v>0</v>
      </c>
      <c r="V357" s="687">
        <f t="shared" ref="V357:AG357" si="961">U357</f>
        <v>0</v>
      </c>
      <c r="W357" s="687">
        <f t="shared" si="961"/>
        <v>0</v>
      </c>
      <c r="X357" s="687">
        <f t="shared" si="961"/>
        <v>0</v>
      </c>
      <c r="Y357" s="687">
        <f t="shared" si="961"/>
        <v>0</v>
      </c>
      <c r="Z357" s="687">
        <f t="shared" si="961"/>
        <v>0</v>
      </c>
      <c r="AA357" s="687">
        <f t="shared" si="961"/>
        <v>0</v>
      </c>
      <c r="AB357" s="687">
        <f t="shared" si="961"/>
        <v>0</v>
      </c>
      <c r="AC357" s="687">
        <f t="shared" si="961"/>
        <v>0</v>
      </c>
      <c r="AD357" s="687">
        <f t="shared" si="961"/>
        <v>0</v>
      </c>
      <c r="AE357" s="687">
        <f t="shared" si="961"/>
        <v>0</v>
      </c>
      <c r="AF357" s="687">
        <f t="shared" si="961"/>
        <v>0</v>
      </c>
      <c r="AG357" s="916">
        <f t="shared" si="961"/>
        <v>0</v>
      </c>
      <c r="AH357" s="921">
        <f>AH330</f>
        <v>0</v>
      </c>
      <c r="AI357" s="921">
        <f t="shared" ref="AI357:AO357" si="962">AI330</f>
        <v>6.0000000000000001E-3</v>
      </c>
      <c r="AJ357" s="921">
        <f t="shared" si="962"/>
        <v>1.7999999999999999E-2</v>
      </c>
      <c r="AK357" s="921">
        <f t="shared" si="962"/>
        <v>3.5999999999999997E-2</v>
      </c>
      <c r="AL357" s="921">
        <f t="shared" si="962"/>
        <v>7.1999999999999995E-2</v>
      </c>
      <c r="AM357" s="921">
        <f t="shared" si="962"/>
        <v>0.11</v>
      </c>
      <c r="AN357" s="921">
        <f t="shared" si="962"/>
        <v>0.13</v>
      </c>
      <c r="AO357" s="1004">
        <f t="shared" si="962"/>
        <v>0.15</v>
      </c>
    </row>
    <row r="358" spans="1:42" s="18" customFormat="1" ht="13.15" customHeight="1" x14ac:dyDescent="0.2">
      <c r="A358" s="680" t="s">
        <v>251</v>
      </c>
      <c r="B358" s="680"/>
      <c r="C358" s="690">
        <f t="shared" ref="C358:F358" si="963">C355*C357</f>
        <v>0</v>
      </c>
      <c r="D358" s="690">
        <f t="shared" si="963"/>
        <v>0</v>
      </c>
      <c r="E358" s="690">
        <f t="shared" si="963"/>
        <v>0</v>
      </c>
      <c r="F358" s="690">
        <f t="shared" si="963"/>
        <v>0</v>
      </c>
      <c r="G358" s="902">
        <f>SUM(C358:F358)</f>
        <v>0</v>
      </c>
      <c r="H358" s="690">
        <f t="shared" ref="H358:M358" si="964">H355*H357</f>
        <v>0</v>
      </c>
      <c r="I358" s="690">
        <f t="shared" si="964"/>
        <v>0</v>
      </c>
      <c r="J358" s="690">
        <f t="shared" si="964"/>
        <v>0</v>
      </c>
      <c r="K358" s="690">
        <f t="shared" si="964"/>
        <v>0</v>
      </c>
      <c r="L358" s="690">
        <f t="shared" si="964"/>
        <v>0</v>
      </c>
      <c r="M358" s="690">
        <f t="shared" si="964"/>
        <v>0</v>
      </c>
      <c r="N358" s="690">
        <f t="shared" ref="N358:S358" si="965">N355*N357</f>
        <v>0</v>
      </c>
      <c r="O358" s="690">
        <f t="shared" si="965"/>
        <v>0</v>
      </c>
      <c r="P358" s="690">
        <f t="shared" si="965"/>
        <v>0</v>
      </c>
      <c r="Q358" s="690">
        <f t="shared" si="965"/>
        <v>0</v>
      </c>
      <c r="R358" s="690">
        <f t="shared" si="965"/>
        <v>0</v>
      </c>
      <c r="S358" s="690">
        <f t="shared" si="965"/>
        <v>0</v>
      </c>
      <c r="T358" s="917">
        <f>SUM(H358:S358)</f>
        <v>0</v>
      </c>
      <c r="U358" s="690">
        <f t="shared" ref="U358:AF358" si="966">U355*U357</f>
        <v>0</v>
      </c>
      <c r="V358" s="690">
        <f t="shared" si="966"/>
        <v>0</v>
      </c>
      <c r="W358" s="690">
        <f t="shared" si="966"/>
        <v>0</v>
      </c>
      <c r="X358" s="690">
        <f t="shared" si="966"/>
        <v>0</v>
      </c>
      <c r="Y358" s="690">
        <f t="shared" si="966"/>
        <v>0</v>
      </c>
      <c r="Z358" s="690">
        <f t="shared" si="966"/>
        <v>0</v>
      </c>
      <c r="AA358" s="690">
        <f t="shared" si="966"/>
        <v>0</v>
      </c>
      <c r="AB358" s="690">
        <f t="shared" si="966"/>
        <v>0</v>
      </c>
      <c r="AC358" s="690">
        <f t="shared" si="966"/>
        <v>0</v>
      </c>
      <c r="AD358" s="690">
        <f t="shared" si="966"/>
        <v>0</v>
      </c>
      <c r="AE358" s="690">
        <f t="shared" si="966"/>
        <v>0</v>
      </c>
      <c r="AF358" s="690">
        <f t="shared" si="966"/>
        <v>0</v>
      </c>
      <c r="AG358" s="902">
        <f>SUM(U358:AF358)</f>
        <v>0</v>
      </c>
      <c r="AH358" s="902">
        <f>AH355*AVERAGE(AF357,AH357)</f>
        <v>0</v>
      </c>
      <c r="AI358" s="902">
        <f t="shared" ref="AI358:AO358" si="967">AI355*AVERAGE(AH357,AI357)</f>
        <v>34.398000000000003</v>
      </c>
      <c r="AJ358" s="902">
        <f t="shared" si="967"/>
        <v>141.71976000000001</v>
      </c>
      <c r="AK358" s="902">
        <f t="shared" si="967"/>
        <v>325.24684919999993</v>
      </c>
      <c r="AL358" s="902">
        <f t="shared" si="967"/>
        <v>656.99863538399984</v>
      </c>
      <c r="AM358" s="902">
        <f t="shared" si="967"/>
        <v>1107.1643670359999</v>
      </c>
      <c r="AN358" s="902">
        <f t="shared" si="967"/>
        <v>1459.9969675199998</v>
      </c>
      <c r="AO358" s="996">
        <f t="shared" si="967"/>
        <v>1703.32979544</v>
      </c>
    </row>
    <row r="359" spans="1:42" s="18" customFormat="1" ht="13.15" customHeight="1" x14ac:dyDescent="0.2">
      <c r="A359" s="680" t="s">
        <v>249</v>
      </c>
      <c r="B359" s="680"/>
      <c r="C359" s="686">
        <v>2.5</v>
      </c>
      <c r="D359" s="686">
        <f>C359</f>
        <v>2.5</v>
      </c>
      <c r="E359" s="686">
        <f t="shared" ref="E359:F359" si="968">D359</f>
        <v>2.5</v>
      </c>
      <c r="F359" s="686">
        <f t="shared" si="968"/>
        <v>2.5</v>
      </c>
      <c r="G359" s="903">
        <f>F359</f>
        <v>2.5</v>
      </c>
      <c r="H359" s="686">
        <f>F359</f>
        <v>2.5</v>
      </c>
      <c r="I359" s="686">
        <f>H359</f>
        <v>2.5</v>
      </c>
      <c r="J359" s="686">
        <f t="shared" ref="J359:S359" si="969">I359</f>
        <v>2.5</v>
      </c>
      <c r="K359" s="686">
        <f t="shared" si="969"/>
        <v>2.5</v>
      </c>
      <c r="L359" s="686">
        <f t="shared" si="969"/>
        <v>2.5</v>
      </c>
      <c r="M359" s="686">
        <f t="shared" si="969"/>
        <v>2.5</v>
      </c>
      <c r="N359" s="686">
        <f t="shared" si="969"/>
        <v>2.5</v>
      </c>
      <c r="O359" s="686">
        <f t="shared" si="969"/>
        <v>2.5</v>
      </c>
      <c r="P359" s="686">
        <f t="shared" si="969"/>
        <v>2.5</v>
      </c>
      <c r="Q359" s="686">
        <f t="shared" si="969"/>
        <v>2.5</v>
      </c>
      <c r="R359" s="686">
        <f t="shared" si="969"/>
        <v>2.5</v>
      </c>
      <c r="S359" s="686">
        <f t="shared" si="969"/>
        <v>2.5</v>
      </c>
      <c r="T359" s="903">
        <f t="shared" ref="T359" si="970">S359</f>
        <v>2.5</v>
      </c>
      <c r="U359" s="686">
        <f>S359</f>
        <v>2.5</v>
      </c>
      <c r="V359" s="686">
        <f t="shared" ref="V359:AG359" si="971">U359</f>
        <v>2.5</v>
      </c>
      <c r="W359" s="686">
        <f t="shared" si="971"/>
        <v>2.5</v>
      </c>
      <c r="X359" s="686">
        <f t="shared" si="971"/>
        <v>2.5</v>
      </c>
      <c r="Y359" s="686">
        <f t="shared" si="971"/>
        <v>2.5</v>
      </c>
      <c r="Z359" s="686">
        <f t="shared" si="971"/>
        <v>2.5</v>
      </c>
      <c r="AA359" s="686">
        <f t="shared" si="971"/>
        <v>2.5</v>
      </c>
      <c r="AB359" s="686">
        <f t="shared" si="971"/>
        <v>2.5</v>
      </c>
      <c r="AC359" s="686">
        <f t="shared" si="971"/>
        <v>2.5</v>
      </c>
      <c r="AD359" s="686">
        <f t="shared" si="971"/>
        <v>2.5</v>
      </c>
      <c r="AE359" s="686">
        <f t="shared" si="971"/>
        <v>2.5</v>
      </c>
      <c r="AF359" s="686">
        <f t="shared" si="971"/>
        <v>2.5</v>
      </c>
      <c r="AG359" s="919">
        <f t="shared" si="971"/>
        <v>2.5</v>
      </c>
      <c r="AH359" s="919">
        <f>AF359</f>
        <v>2.5</v>
      </c>
      <c r="AI359" s="919">
        <f t="shared" ref="AI359:AO359" si="972">AH359</f>
        <v>2.5</v>
      </c>
      <c r="AJ359" s="919">
        <f t="shared" si="972"/>
        <v>2.5</v>
      </c>
      <c r="AK359" s="919">
        <f t="shared" si="972"/>
        <v>2.5</v>
      </c>
      <c r="AL359" s="919">
        <f t="shared" si="972"/>
        <v>2.5</v>
      </c>
      <c r="AM359" s="919">
        <f t="shared" si="972"/>
        <v>2.5</v>
      </c>
      <c r="AN359" s="919">
        <f t="shared" si="972"/>
        <v>2.5</v>
      </c>
      <c r="AO359" s="998">
        <f t="shared" si="972"/>
        <v>2.5</v>
      </c>
    </row>
    <row r="360" spans="1:42" s="18" customFormat="1" ht="13.15" customHeight="1" x14ac:dyDescent="0.2">
      <c r="A360" s="680" t="s">
        <v>255</v>
      </c>
      <c r="B360" s="680"/>
      <c r="C360" s="690">
        <f t="shared" ref="C360:F360" si="973">C358*C359</f>
        <v>0</v>
      </c>
      <c r="D360" s="690">
        <f t="shared" si="973"/>
        <v>0</v>
      </c>
      <c r="E360" s="690">
        <f t="shared" si="973"/>
        <v>0</v>
      </c>
      <c r="F360" s="690">
        <f t="shared" si="973"/>
        <v>0</v>
      </c>
      <c r="G360" s="902">
        <f>SUM(C360:F360)</f>
        <v>0</v>
      </c>
      <c r="H360" s="690">
        <f t="shared" ref="H360:M360" si="974">H358*H359</f>
        <v>0</v>
      </c>
      <c r="I360" s="690">
        <f t="shared" si="974"/>
        <v>0</v>
      </c>
      <c r="J360" s="690">
        <f t="shared" si="974"/>
        <v>0</v>
      </c>
      <c r="K360" s="690">
        <f t="shared" si="974"/>
        <v>0</v>
      </c>
      <c r="L360" s="690">
        <f t="shared" si="974"/>
        <v>0</v>
      </c>
      <c r="M360" s="690">
        <f t="shared" si="974"/>
        <v>0</v>
      </c>
      <c r="N360" s="690">
        <f t="shared" ref="N360:S360" si="975">N358*N359</f>
        <v>0</v>
      </c>
      <c r="O360" s="690">
        <f t="shared" si="975"/>
        <v>0</v>
      </c>
      <c r="P360" s="690">
        <f t="shared" si="975"/>
        <v>0</v>
      </c>
      <c r="Q360" s="690">
        <f t="shared" si="975"/>
        <v>0</v>
      </c>
      <c r="R360" s="690">
        <f t="shared" si="975"/>
        <v>0</v>
      </c>
      <c r="S360" s="690">
        <f t="shared" si="975"/>
        <v>0</v>
      </c>
      <c r="T360" s="918">
        <f>SUM(H360:S360)</f>
        <v>0</v>
      </c>
      <c r="U360" s="690">
        <f t="shared" ref="U360:AF360" si="976">U358*U359</f>
        <v>0</v>
      </c>
      <c r="V360" s="690">
        <f t="shared" si="976"/>
        <v>0</v>
      </c>
      <c r="W360" s="690">
        <f t="shared" si="976"/>
        <v>0</v>
      </c>
      <c r="X360" s="690">
        <f t="shared" si="976"/>
        <v>0</v>
      </c>
      <c r="Y360" s="690">
        <f t="shared" si="976"/>
        <v>0</v>
      </c>
      <c r="Z360" s="690">
        <f t="shared" si="976"/>
        <v>0</v>
      </c>
      <c r="AA360" s="690">
        <f t="shared" si="976"/>
        <v>0</v>
      </c>
      <c r="AB360" s="690">
        <f t="shared" si="976"/>
        <v>0</v>
      </c>
      <c r="AC360" s="690">
        <f t="shared" si="976"/>
        <v>0</v>
      </c>
      <c r="AD360" s="690">
        <f t="shared" si="976"/>
        <v>0</v>
      </c>
      <c r="AE360" s="690">
        <f t="shared" si="976"/>
        <v>0</v>
      </c>
      <c r="AF360" s="690">
        <f t="shared" si="976"/>
        <v>0</v>
      </c>
      <c r="AG360" s="918">
        <f>SUM(U360:AF360)</f>
        <v>0</v>
      </c>
      <c r="AH360" s="902">
        <f t="shared" ref="AH360:AO360" si="977">AH358*AH359</f>
        <v>0</v>
      </c>
      <c r="AI360" s="902">
        <f t="shared" si="977"/>
        <v>85.995000000000005</v>
      </c>
      <c r="AJ360" s="902">
        <f t="shared" si="977"/>
        <v>354.29939999999999</v>
      </c>
      <c r="AK360" s="902">
        <f t="shared" si="977"/>
        <v>813.11712299999976</v>
      </c>
      <c r="AL360" s="902">
        <f t="shared" si="977"/>
        <v>1642.4965884599997</v>
      </c>
      <c r="AM360" s="902">
        <f t="shared" si="977"/>
        <v>2767.9109175899998</v>
      </c>
      <c r="AN360" s="902">
        <f t="shared" si="977"/>
        <v>3649.9924187999995</v>
      </c>
      <c r="AO360" s="996">
        <f t="shared" si="977"/>
        <v>4258.3244886000002</v>
      </c>
    </row>
    <row r="361" spans="1:42" s="34" customFormat="1" ht="12.4" customHeight="1" x14ac:dyDescent="0.2">
      <c r="A361" s="1"/>
      <c r="B361" s="1"/>
      <c r="C361" s="1"/>
      <c r="D361" s="1"/>
      <c r="E361" s="1"/>
      <c r="F361" s="1"/>
      <c r="G361" s="26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6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268"/>
      <c r="AH361" s="268"/>
      <c r="AI361" s="268"/>
      <c r="AJ361" s="268"/>
      <c r="AK361" s="268"/>
      <c r="AL361" s="268"/>
      <c r="AM361" s="268"/>
      <c r="AN361" s="268"/>
      <c r="AO361" s="999"/>
      <c r="AP361" s="18"/>
    </row>
    <row r="362" spans="1:42" s="18" customFormat="1" ht="13.15" customHeight="1" x14ac:dyDescent="0.2">
      <c r="A362" s="680" t="s">
        <v>253</v>
      </c>
      <c r="B362" s="680"/>
      <c r="C362" s="689">
        <v>0</v>
      </c>
      <c r="D362" s="689">
        <v>0</v>
      </c>
      <c r="E362" s="689">
        <v>0</v>
      </c>
      <c r="F362" s="689">
        <v>0</v>
      </c>
      <c r="G362" s="902">
        <f>F362</f>
        <v>0</v>
      </c>
      <c r="H362" s="689">
        <v>0</v>
      </c>
      <c r="I362" s="689">
        <v>0</v>
      </c>
      <c r="J362" s="689">
        <v>0</v>
      </c>
      <c r="K362" s="689">
        <v>0</v>
      </c>
      <c r="L362" s="689">
        <v>0</v>
      </c>
      <c r="M362" s="689">
        <v>0</v>
      </c>
      <c r="N362" s="689">
        <v>0</v>
      </c>
      <c r="O362" s="689">
        <v>0</v>
      </c>
      <c r="P362" s="689">
        <v>0</v>
      </c>
      <c r="Q362" s="689">
        <v>0</v>
      </c>
      <c r="R362" s="689">
        <v>0</v>
      </c>
      <c r="S362" s="689">
        <v>0</v>
      </c>
      <c r="T362" s="902">
        <f>S362</f>
        <v>0</v>
      </c>
      <c r="U362" s="689">
        <f>S362</f>
        <v>0</v>
      </c>
      <c r="V362" s="689">
        <f t="shared" ref="V362:AG362" si="978">U362</f>
        <v>0</v>
      </c>
      <c r="W362" s="689">
        <f t="shared" si="978"/>
        <v>0</v>
      </c>
      <c r="X362" s="689">
        <f t="shared" si="978"/>
        <v>0</v>
      </c>
      <c r="Y362" s="689">
        <f t="shared" si="978"/>
        <v>0</v>
      </c>
      <c r="Z362" s="689">
        <f t="shared" si="978"/>
        <v>0</v>
      </c>
      <c r="AA362" s="689">
        <f t="shared" si="978"/>
        <v>0</v>
      </c>
      <c r="AB362" s="689">
        <f t="shared" si="978"/>
        <v>0</v>
      </c>
      <c r="AC362" s="689">
        <f t="shared" si="978"/>
        <v>0</v>
      </c>
      <c r="AD362" s="689">
        <f t="shared" si="978"/>
        <v>0</v>
      </c>
      <c r="AE362" s="689">
        <f t="shared" si="978"/>
        <v>0</v>
      </c>
      <c r="AF362" s="689">
        <f t="shared" si="978"/>
        <v>0</v>
      </c>
      <c r="AG362" s="902">
        <f t="shared" si="978"/>
        <v>0</v>
      </c>
      <c r="AH362" s="899">
        <f>AF362</f>
        <v>0</v>
      </c>
      <c r="AI362" s="899">
        <f t="shared" ref="AI362:AO362" si="979">AH362</f>
        <v>0</v>
      </c>
      <c r="AJ362" s="899">
        <f t="shared" si="979"/>
        <v>0</v>
      </c>
      <c r="AK362" s="899">
        <f t="shared" si="979"/>
        <v>0</v>
      </c>
      <c r="AL362" s="899">
        <f t="shared" si="979"/>
        <v>0</v>
      </c>
      <c r="AM362" s="899">
        <f t="shared" si="979"/>
        <v>0</v>
      </c>
      <c r="AN362" s="899">
        <f t="shared" si="979"/>
        <v>0</v>
      </c>
      <c r="AO362" s="1000">
        <f t="shared" si="979"/>
        <v>0</v>
      </c>
    </row>
    <row r="363" spans="1:42" s="18" customFormat="1" ht="13.15" customHeight="1" x14ac:dyDescent="0.2">
      <c r="A363" s="680" t="s">
        <v>252</v>
      </c>
      <c r="B363" s="680"/>
      <c r="C363" s="689">
        <v>0</v>
      </c>
      <c r="D363" s="689">
        <v>0</v>
      </c>
      <c r="E363" s="689">
        <v>0</v>
      </c>
      <c r="F363" s="689">
        <v>0</v>
      </c>
      <c r="G363" s="902">
        <f>SUM(C363:F363)</f>
        <v>0</v>
      </c>
      <c r="H363" s="689">
        <v>0</v>
      </c>
      <c r="I363" s="689">
        <v>0</v>
      </c>
      <c r="J363" s="689">
        <v>0</v>
      </c>
      <c r="K363" s="689">
        <v>0</v>
      </c>
      <c r="L363" s="689">
        <v>0</v>
      </c>
      <c r="M363" s="689">
        <v>0</v>
      </c>
      <c r="N363" s="689">
        <f t="shared" ref="N363:S363" si="980">100/12</f>
        <v>8.3333333333333339</v>
      </c>
      <c r="O363" s="689">
        <f t="shared" si="980"/>
        <v>8.3333333333333339</v>
      </c>
      <c r="P363" s="689">
        <f t="shared" si="980"/>
        <v>8.3333333333333339</v>
      </c>
      <c r="Q363" s="689">
        <f t="shared" si="980"/>
        <v>8.3333333333333339</v>
      </c>
      <c r="R363" s="689">
        <f t="shared" si="980"/>
        <v>8.3333333333333339</v>
      </c>
      <c r="S363" s="689">
        <f t="shared" si="980"/>
        <v>8.3333333333333339</v>
      </c>
      <c r="T363" s="917">
        <f>SUM(H363:S363)</f>
        <v>50.000000000000007</v>
      </c>
      <c r="U363" s="689">
        <f t="shared" ref="U363:AF363" si="981">100/12</f>
        <v>8.3333333333333339</v>
      </c>
      <c r="V363" s="689">
        <f t="shared" si="981"/>
        <v>8.3333333333333339</v>
      </c>
      <c r="W363" s="689">
        <f t="shared" si="981"/>
        <v>8.3333333333333339</v>
      </c>
      <c r="X363" s="689">
        <f t="shared" si="981"/>
        <v>8.3333333333333339</v>
      </c>
      <c r="Y363" s="689">
        <f t="shared" si="981"/>
        <v>8.3333333333333339</v>
      </c>
      <c r="Z363" s="689">
        <f t="shared" si="981"/>
        <v>8.3333333333333339</v>
      </c>
      <c r="AA363" s="689">
        <f t="shared" si="981"/>
        <v>8.3333333333333339</v>
      </c>
      <c r="AB363" s="689">
        <f t="shared" si="981"/>
        <v>8.3333333333333339</v>
      </c>
      <c r="AC363" s="689">
        <f t="shared" si="981"/>
        <v>8.3333333333333339</v>
      </c>
      <c r="AD363" s="689">
        <f t="shared" si="981"/>
        <v>8.3333333333333339</v>
      </c>
      <c r="AE363" s="689">
        <f t="shared" si="981"/>
        <v>8.3333333333333339</v>
      </c>
      <c r="AF363" s="689">
        <f t="shared" si="981"/>
        <v>8.3333333333333339</v>
      </c>
      <c r="AG363" s="917">
        <f>SUM(U363:AF363)</f>
        <v>99.999999999999986</v>
      </c>
      <c r="AH363" s="899">
        <v>100</v>
      </c>
      <c r="AI363" s="899">
        <v>100</v>
      </c>
      <c r="AJ363" s="899">
        <v>100</v>
      </c>
      <c r="AK363" s="899">
        <v>100</v>
      </c>
      <c r="AL363" s="899">
        <v>100</v>
      </c>
      <c r="AM363" s="899">
        <v>100</v>
      </c>
      <c r="AN363" s="899">
        <v>100</v>
      </c>
      <c r="AO363" s="1000">
        <v>100</v>
      </c>
    </row>
    <row r="364" spans="1:42" s="18" customFormat="1" ht="13.15" customHeight="1" x14ac:dyDescent="0.2">
      <c r="A364" s="680" t="s">
        <v>254</v>
      </c>
      <c r="B364" s="680"/>
      <c r="C364" s="690">
        <f t="shared" ref="C364:F364" si="982">C362*C363</f>
        <v>0</v>
      </c>
      <c r="D364" s="690">
        <f t="shared" si="982"/>
        <v>0</v>
      </c>
      <c r="E364" s="690">
        <f t="shared" si="982"/>
        <v>0</v>
      </c>
      <c r="F364" s="690">
        <f t="shared" si="982"/>
        <v>0</v>
      </c>
      <c r="G364" s="902">
        <f>SUM(C364:F364)</f>
        <v>0</v>
      </c>
      <c r="H364" s="690">
        <f t="shared" ref="H364:M364" si="983">H362*H363</f>
        <v>0</v>
      </c>
      <c r="I364" s="690">
        <f t="shared" si="983"/>
        <v>0</v>
      </c>
      <c r="J364" s="690">
        <f t="shared" si="983"/>
        <v>0</v>
      </c>
      <c r="K364" s="690">
        <f t="shared" si="983"/>
        <v>0</v>
      </c>
      <c r="L364" s="690">
        <f t="shared" si="983"/>
        <v>0</v>
      </c>
      <c r="M364" s="690">
        <f t="shared" si="983"/>
        <v>0</v>
      </c>
      <c r="N364" s="690">
        <f t="shared" ref="N364:S364" si="984">N362*N363</f>
        <v>0</v>
      </c>
      <c r="O364" s="690">
        <f t="shared" si="984"/>
        <v>0</v>
      </c>
      <c r="P364" s="690">
        <f t="shared" si="984"/>
        <v>0</v>
      </c>
      <c r="Q364" s="690">
        <f t="shared" si="984"/>
        <v>0</v>
      </c>
      <c r="R364" s="690">
        <f t="shared" si="984"/>
        <v>0</v>
      </c>
      <c r="S364" s="690">
        <f t="shared" si="984"/>
        <v>0</v>
      </c>
      <c r="T364" s="917">
        <f>SUM(H364:S364)</f>
        <v>0</v>
      </c>
      <c r="U364" s="690">
        <f t="shared" ref="U364:AF364" si="985">U362*U363</f>
        <v>0</v>
      </c>
      <c r="V364" s="690">
        <f t="shared" si="985"/>
        <v>0</v>
      </c>
      <c r="W364" s="690">
        <f t="shared" si="985"/>
        <v>0</v>
      </c>
      <c r="X364" s="690">
        <f t="shared" si="985"/>
        <v>0</v>
      </c>
      <c r="Y364" s="690">
        <f t="shared" si="985"/>
        <v>0</v>
      </c>
      <c r="Z364" s="690">
        <f t="shared" si="985"/>
        <v>0</v>
      </c>
      <c r="AA364" s="690">
        <f t="shared" si="985"/>
        <v>0</v>
      </c>
      <c r="AB364" s="690">
        <f t="shared" si="985"/>
        <v>0</v>
      </c>
      <c r="AC364" s="690">
        <f t="shared" si="985"/>
        <v>0</v>
      </c>
      <c r="AD364" s="690">
        <f t="shared" si="985"/>
        <v>0</v>
      </c>
      <c r="AE364" s="690">
        <f t="shared" si="985"/>
        <v>0</v>
      </c>
      <c r="AF364" s="690">
        <f t="shared" si="985"/>
        <v>0</v>
      </c>
      <c r="AG364" s="902">
        <f>SUM(U364:AF364)</f>
        <v>0</v>
      </c>
      <c r="AH364" s="902">
        <f t="shared" ref="AH364:AO364" si="986">AH362*AH363</f>
        <v>0</v>
      </c>
      <c r="AI364" s="902">
        <f t="shared" si="986"/>
        <v>0</v>
      </c>
      <c r="AJ364" s="902">
        <f t="shared" si="986"/>
        <v>0</v>
      </c>
      <c r="AK364" s="902">
        <f t="shared" si="986"/>
        <v>0</v>
      </c>
      <c r="AL364" s="902">
        <f t="shared" si="986"/>
        <v>0</v>
      </c>
      <c r="AM364" s="902">
        <f t="shared" si="986"/>
        <v>0</v>
      </c>
      <c r="AN364" s="902">
        <f t="shared" si="986"/>
        <v>0</v>
      </c>
      <c r="AO364" s="996">
        <f t="shared" si="986"/>
        <v>0</v>
      </c>
    </row>
    <row r="365" spans="1:42" s="18" customFormat="1" ht="13.15" customHeight="1" x14ac:dyDescent="0.2">
      <c r="A365" s="680" t="s">
        <v>249</v>
      </c>
      <c r="B365" s="680"/>
      <c r="C365" s="686">
        <f t="shared" ref="C365:F365" si="987">C359</f>
        <v>2.5</v>
      </c>
      <c r="D365" s="686">
        <f t="shared" si="987"/>
        <v>2.5</v>
      </c>
      <c r="E365" s="686">
        <f t="shared" si="987"/>
        <v>2.5</v>
      </c>
      <c r="F365" s="686">
        <f t="shared" si="987"/>
        <v>2.5</v>
      </c>
      <c r="G365" s="903">
        <f>F365</f>
        <v>2.5</v>
      </c>
      <c r="H365" s="686">
        <f t="shared" ref="H365:M365" si="988">H359</f>
        <v>2.5</v>
      </c>
      <c r="I365" s="686">
        <f t="shared" si="988"/>
        <v>2.5</v>
      </c>
      <c r="J365" s="686">
        <f t="shared" si="988"/>
        <v>2.5</v>
      </c>
      <c r="K365" s="686">
        <f t="shared" si="988"/>
        <v>2.5</v>
      </c>
      <c r="L365" s="686">
        <f t="shared" si="988"/>
        <v>2.5</v>
      </c>
      <c r="M365" s="686">
        <f t="shared" si="988"/>
        <v>2.5</v>
      </c>
      <c r="N365" s="686">
        <f t="shared" ref="N365:AO365" si="989">N359</f>
        <v>2.5</v>
      </c>
      <c r="O365" s="686">
        <f t="shared" si="989"/>
        <v>2.5</v>
      </c>
      <c r="P365" s="686">
        <f t="shared" si="989"/>
        <v>2.5</v>
      </c>
      <c r="Q365" s="686">
        <f t="shared" si="989"/>
        <v>2.5</v>
      </c>
      <c r="R365" s="686">
        <f t="shared" si="989"/>
        <v>2.5</v>
      </c>
      <c r="S365" s="686">
        <f t="shared" si="989"/>
        <v>2.5</v>
      </c>
      <c r="T365" s="919">
        <f t="shared" si="989"/>
        <v>2.5</v>
      </c>
      <c r="U365" s="686">
        <f t="shared" si="989"/>
        <v>2.5</v>
      </c>
      <c r="V365" s="686">
        <f t="shared" si="989"/>
        <v>2.5</v>
      </c>
      <c r="W365" s="686">
        <f t="shared" si="989"/>
        <v>2.5</v>
      </c>
      <c r="X365" s="686">
        <f t="shared" si="989"/>
        <v>2.5</v>
      </c>
      <c r="Y365" s="686">
        <f t="shared" si="989"/>
        <v>2.5</v>
      </c>
      <c r="Z365" s="686">
        <f t="shared" si="989"/>
        <v>2.5</v>
      </c>
      <c r="AA365" s="686">
        <f t="shared" si="989"/>
        <v>2.5</v>
      </c>
      <c r="AB365" s="686">
        <f t="shared" si="989"/>
        <v>2.5</v>
      </c>
      <c r="AC365" s="686">
        <f t="shared" si="989"/>
        <v>2.5</v>
      </c>
      <c r="AD365" s="686">
        <f t="shared" si="989"/>
        <v>2.5</v>
      </c>
      <c r="AE365" s="686">
        <f t="shared" si="989"/>
        <v>2.5</v>
      </c>
      <c r="AF365" s="686">
        <f t="shared" si="989"/>
        <v>2.5</v>
      </c>
      <c r="AG365" s="919">
        <f t="shared" si="989"/>
        <v>2.5</v>
      </c>
      <c r="AH365" s="919">
        <f t="shared" si="989"/>
        <v>2.5</v>
      </c>
      <c r="AI365" s="919">
        <f t="shared" si="989"/>
        <v>2.5</v>
      </c>
      <c r="AJ365" s="919">
        <f t="shared" si="989"/>
        <v>2.5</v>
      </c>
      <c r="AK365" s="919">
        <f t="shared" si="989"/>
        <v>2.5</v>
      </c>
      <c r="AL365" s="919">
        <f t="shared" si="989"/>
        <v>2.5</v>
      </c>
      <c r="AM365" s="919">
        <f t="shared" si="989"/>
        <v>2.5</v>
      </c>
      <c r="AN365" s="919">
        <f t="shared" si="989"/>
        <v>2.5</v>
      </c>
      <c r="AO365" s="998">
        <f t="shared" si="989"/>
        <v>2.5</v>
      </c>
    </row>
    <row r="366" spans="1:42" s="18" customFormat="1" ht="13.15" customHeight="1" x14ac:dyDescent="0.2">
      <c r="A366" s="680" t="s">
        <v>255</v>
      </c>
      <c r="B366" s="680"/>
      <c r="C366" s="690">
        <f t="shared" ref="C366:F366" si="990">C364*C365</f>
        <v>0</v>
      </c>
      <c r="D366" s="690">
        <f t="shared" si="990"/>
        <v>0</v>
      </c>
      <c r="E366" s="690">
        <f t="shared" si="990"/>
        <v>0</v>
      </c>
      <c r="F366" s="690">
        <f t="shared" si="990"/>
        <v>0</v>
      </c>
      <c r="G366" s="902">
        <f>SUM(C366:F366)</f>
        <v>0</v>
      </c>
      <c r="H366" s="690">
        <f t="shared" ref="H366:M366" si="991">H364*H365</f>
        <v>0</v>
      </c>
      <c r="I366" s="690">
        <f t="shared" si="991"/>
        <v>0</v>
      </c>
      <c r="J366" s="690">
        <f t="shared" si="991"/>
        <v>0</v>
      </c>
      <c r="K366" s="690">
        <f t="shared" si="991"/>
        <v>0</v>
      </c>
      <c r="L366" s="690">
        <f t="shared" si="991"/>
        <v>0</v>
      </c>
      <c r="M366" s="690">
        <f t="shared" si="991"/>
        <v>0</v>
      </c>
      <c r="N366" s="690">
        <f t="shared" ref="N366:S366" si="992">N364*N365</f>
        <v>0</v>
      </c>
      <c r="O366" s="690">
        <f t="shared" si="992"/>
        <v>0</v>
      </c>
      <c r="P366" s="690">
        <f t="shared" si="992"/>
        <v>0</v>
      </c>
      <c r="Q366" s="690">
        <f t="shared" si="992"/>
        <v>0</v>
      </c>
      <c r="R366" s="690">
        <f t="shared" si="992"/>
        <v>0</v>
      </c>
      <c r="S366" s="690">
        <f t="shared" si="992"/>
        <v>0</v>
      </c>
      <c r="T366" s="918">
        <f>SUM(H366:S366)</f>
        <v>0</v>
      </c>
      <c r="U366" s="690">
        <f t="shared" ref="U366:AF366" si="993">U364*U365</f>
        <v>0</v>
      </c>
      <c r="V366" s="690">
        <f t="shared" si="993"/>
        <v>0</v>
      </c>
      <c r="W366" s="690">
        <f t="shared" si="993"/>
        <v>0</v>
      </c>
      <c r="X366" s="690">
        <f t="shared" si="993"/>
        <v>0</v>
      </c>
      <c r="Y366" s="690">
        <f t="shared" si="993"/>
        <v>0</v>
      </c>
      <c r="Z366" s="690">
        <f t="shared" si="993"/>
        <v>0</v>
      </c>
      <c r="AA366" s="690">
        <f t="shared" si="993"/>
        <v>0</v>
      </c>
      <c r="AB366" s="690">
        <f t="shared" si="993"/>
        <v>0</v>
      </c>
      <c r="AC366" s="690">
        <f t="shared" si="993"/>
        <v>0</v>
      </c>
      <c r="AD366" s="690">
        <f t="shared" si="993"/>
        <v>0</v>
      </c>
      <c r="AE366" s="690">
        <f t="shared" si="993"/>
        <v>0</v>
      </c>
      <c r="AF366" s="690">
        <f t="shared" si="993"/>
        <v>0</v>
      </c>
      <c r="AG366" s="918">
        <f>SUM(U366:AF366)</f>
        <v>0</v>
      </c>
      <c r="AH366" s="902">
        <f t="shared" ref="AH366:AO366" si="994">AH364*AH365</f>
        <v>0</v>
      </c>
      <c r="AI366" s="902">
        <f t="shared" si="994"/>
        <v>0</v>
      </c>
      <c r="AJ366" s="902">
        <f t="shared" si="994"/>
        <v>0</v>
      </c>
      <c r="AK366" s="902">
        <f t="shared" si="994"/>
        <v>0</v>
      </c>
      <c r="AL366" s="902">
        <f t="shared" si="994"/>
        <v>0</v>
      </c>
      <c r="AM366" s="902">
        <f t="shared" si="994"/>
        <v>0</v>
      </c>
      <c r="AN366" s="902">
        <f t="shared" si="994"/>
        <v>0</v>
      </c>
      <c r="AO366" s="996">
        <f t="shared" si="994"/>
        <v>0</v>
      </c>
    </row>
    <row r="367" spans="1:42" s="18" customFormat="1" ht="13.15" customHeight="1" x14ac:dyDescent="0.2">
      <c r="A367" s="674"/>
      <c r="B367" s="674"/>
      <c r="C367" s="682"/>
      <c r="D367" s="682"/>
      <c r="E367" s="682"/>
      <c r="F367" s="682"/>
      <c r="G367" s="900"/>
      <c r="H367" s="682"/>
      <c r="I367" s="682"/>
      <c r="J367" s="682"/>
      <c r="K367" s="682"/>
      <c r="L367" s="682"/>
      <c r="M367" s="682"/>
      <c r="N367" s="682"/>
      <c r="O367" s="682"/>
      <c r="P367" s="682"/>
      <c r="Q367" s="682"/>
      <c r="R367" s="682"/>
      <c r="S367" s="682"/>
      <c r="T367" s="917"/>
      <c r="U367" s="682"/>
      <c r="V367" s="682"/>
      <c r="W367" s="682"/>
      <c r="X367" s="682"/>
      <c r="Y367" s="682"/>
      <c r="Z367" s="682"/>
      <c r="AA367" s="682"/>
      <c r="AB367" s="682"/>
      <c r="AC367" s="682"/>
      <c r="AD367" s="682"/>
      <c r="AE367" s="682"/>
      <c r="AF367" s="682"/>
      <c r="AG367" s="917"/>
      <c r="AH367" s="917"/>
      <c r="AI367" s="917"/>
      <c r="AJ367" s="917"/>
      <c r="AK367" s="924"/>
      <c r="AL367" s="924"/>
      <c r="AM367" s="924"/>
      <c r="AN367" s="924"/>
      <c r="AO367" s="995"/>
    </row>
    <row r="368" spans="1:42" s="18" customFormat="1" ht="13.15" customHeight="1" x14ac:dyDescent="0.2">
      <c r="A368" s="680" t="s">
        <v>256</v>
      </c>
      <c r="B368" s="680"/>
      <c r="C368" s="689">
        <v>0</v>
      </c>
      <c r="D368" s="689">
        <v>0</v>
      </c>
      <c r="E368" s="689">
        <v>0</v>
      </c>
      <c r="F368" s="689">
        <v>0</v>
      </c>
      <c r="G368" s="902">
        <f>F368</f>
        <v>0</v>
      </c>
      <c r="H368" s="689">
        <v>0</v>
      </c>
      <c r="I368" s="689">
        <v>0</v>
      </c>
      <c r="J368" s="689">
        <v>0</v>
      </c>
      <c r="K368" s="689">
        <v>0</v>
      </c>
      <c r="L368" s="689">
        <v>0</v>
      </c>
      <c r="M368" s="689">
        <v>0</v>
      </c>
      <c r="N368" s="689">
        <v>0</v>
      </c>
      <c r="O368" s="689">
        <v>0</v>
      </c>
      <c r="P368" s="689">
        <v>0</v>
      </c>
      <c r="Q368" s="689">
        <v>0</v>
      </c>
      <c r="R368" s="689">
        <v>0</v>
      </c>
      <c r="S368" s="689">
        <v>0</v>
      </c>
      <c r="T368" s="902">
        <f>S368</f>
        <v>0</v>
      </c>
      <c r="U368" s="689">
        <f>S368</f>
        <v>0</v>
      </c>
      <c r="V368" s="689">
        <f t="shared" ref="V368:AG368" si="995">U368</f>
        <v>0</v>
      </c>
      <c r="W368" s="689">
        <f t="shared" si="995"/>
        <v>0</v>
      </c>
      <c r="X368" s="689">
        <f t="shared" si="995"/>
        <v>0</v>
      </c>
      <c r="Y368" s="689">
        <f t="shared" si="995"/>
        <v>0</v>
      </c>
      <c r="Z368" s="689">
        <f t="shared" si="995"/>
        <v>0</v>
      </c>
      <c r="AA368" s="689">
        <f t="shared" si="995"/>
        <v>0</v>
      </c>
      <c r="AB368" s="689">
        <f t="shared" si="995"/>
        <v>0</v>
      </c>
      <c r="AC368" s="689">
        <f t="shared" si="995"/>
        <v>0</v>
      </c>
      <c r="AD368" s="689">
        <f t="shared" si="995"/>
        <v>0</v>
      </c>
      <c r="AE368" s="689">
        <f t="shared" si="995"/>
        <v>0</v>
      </c>
      <c r="AF368" s="689">
        <f t="shared" si="995"/>
        <v>0</v>
      </c>
      <c r="AG368" s="902">
        <f t="shared" si="995"/>
        <v>0</v>
      </c>
      <c r="AH368" s="899">
        <f>AF368</f>
        <v>0</v>
      </c>
      <c r="AI368" s="899">
        <f t="shared" ref="AI368:AO368" si="996">AH368</f>
        <v>0</v>
      </c>
      <c r="AJ368" s="899">
        <f t="shared" si="996"/>
        <v>0</v>
      </c>
      <c r="AK368" s="899">
        <f t="shared" si="996"/>
        <v>0</v>
      </c>
      <c r="AL368" s="899">
        <f t="shared" si="996"/>
        <v>0</v>
      </c>
      <c r="AM368" s="899">
        <f t="shared" si="996"/>
        <v>0</v>
      </c>
      <c r="AN368" s="899">
        <f t="shared" si="996"/>
        <v>0</v>
      </c>
      <c r="AO368" s="1000">
        <f t="shared" si="996"/>
        <v>0</v>
      </c>
    </row>
    <row r="369" spans="1:42" s="18" customFormat="1" ht="13.15" customHeight="1" x14ac:dyDescent="0.2">
      <c r="A369" s="680" t="s">
        <v>252</v>
      </c>
      <c r="B369" s="680"/>
      <c r="C369" s="689">
        <v>0</v>
      </c>
      <c r="D369" s="689">
        <v>0</v>
      </c>
      <c r="E369" s="689">
        <v>0</v>
      </c>
      <c r="F369" s="689">
        <v>0</v>
      </c>
      <c r="G369" s="902">
        <f>SUM(C369:F369)</f>
        <v>0</v>
      </c>
      <c r="H369" s="689">
        <v>0</v>
      </c>
      <c r="I369" s="689">
        <v>0</v>
      </c>
      <c r="J369" s="689">
        <v>0</v>
      </c>
      <c r="K369" s="689">
        <v>0</v>
      </c>
      <c r="L369" s="689">
        <v>0</v>
      </c>
      <c r="M369" s="689">
        <v>0</v>
      </c>
      <c r="N369" s="689">
        <f t="shared" ref="N369:S369" si="997">300/12</f>
        <v>25</v>
      </c>
      <c r="O369" s="689">
        <f t="shared" si="997"/>
        <v>25</v>
      </c>
      <c r="P369" s="689">
        <f t="shared" si="997"/>
        <v>25</v>
      </c>
      <c r="Q369" s="689">
        <f t="shared" si="997"/>
        <v>25</v>
      </c>
      <c r="R369" s="689">
        <f t="shared" si="997"/>
        <v>25</v>
      </c>
      <c r="S369" s="689">
        <f t="shared" si="997"/>
        <v>25</v>
      </c>
      <c r="T369" s="917">
        <f>SUM(H369:S369)</f>
        <v>150</v>
      </c>
      <c r="U369" s="689">
        <f>300/12</f>
        <v>25</v>
      </c>
      <c r="V369" s="689">
        <f t="shared" ref="V369:AF369" si="998">300/12</f>
        <v>25</v>
      </c>
      <c r="W369" s="689">
        <f t="shared" si="998"/>
        <v>25</v>
      </c>
      <c r="X369" s="689">
        <f t="shared" si="998"/>
        <v>25</v>
      </c>
      <c r="Y369" s="689">
        <f t="shared" si="998"/>
        <v>25</v>
      </c>
      <c r="Z369" s="689">
        <f t="shared" si="998"/>
        <v>25</v>
      </c>
      <c r="AA369" s="689">
        <f t="shared" si="998"/>
        <v>25</v>
      </c>
      <c r="AB369" s="689">
        <f t="shared" si="998"/>
        <v>25</v>
      </c>
      <c r="AC369" s="689">
        <f t="shared" si="998"/>
        <v>25</v>
      </c>
      <c r="AD369" s="689">
        <f t="shared" si="998"/>
        <v>25</v>
      </c>
      <c r="AE369" s="689">
        <f t="shared" si="998"/>
        <v>25</v>
      </c>
      <c r="AF369" s="689">
        <f t="shared" si="998"/>
        <v>25</v>
      </c>
      <c r="AG369" s="917">
        <f>SUM(U369:AF369)</f>
        <v>300</v>
      </c>
      <c r="AH369" s="899">
        <v>300</v>
      </c>
      <c r="AI369" s="899">
        <v>300</v>
      </c>
      <c r="AJ369" s="899">
        <v>300</v>
      </c>
      <c r="AK369" s="899">
        <v>300</v>
      </c>
      <c r="AL369" s="899">
        <v>300</v>
      </c>
      <c r="AM369" s="899">
        <v>300</v>
      </c>
      <c r="AN369" s="899">
        <v>300</v>
      </c>
      <c r="AO369" s="1000">
        <v>300</v>
      </c>
    </row>
    <row r="370" spans="1:42" s="18" customFormat="1" ht="13.15" customHeight="1" x14ac:dyDescent="0.2">
      <c r="A370" s="680" t="s">
        <v>254</v>
      </c>
      <c r="B370" s="680"/>
      <c r="C370" s="690">
        <f t="shared" ref="C370:F370" si="999">C368*C369</f>
        <v>0</v>
      </c>
      <c r="D370" s="690">
        <f t="shared" si="999"/>
        <v>0</v>
      </c>
      <c r="E370" s="690">
        <f t="shared" si="999"/>
        <v>0</v>
      </c>
      <c r="F370" s="690">
        <f t="shared" si="999"/>
        <v>0</v>
      </c>
      <c r="G370" s="902">
        <f>SUM(C370:F370)</f>
        <v>0</v>
      </c>
      <c r="H370" s="690">
        <f t="shared" ref="H370:M370" si="1000">H368*H369</f>
        <v>0</v>
      </c>
      <c r="I370" s="690">
        <f t="shared" si="1000"/>
        <v>0</v>
      </c>
      <c r="J370" s="690">
        <f t="shared" si="1000"/>
        <v>0</v>
      </c>
      <c r="K370" s="690">
        <f t="shared" si="1000"/>
        <v>0</v>
      </c>
      <c r="L370" s="690">
        <f t="shared" si="1000"/>
        <v>0</v>
      </c>
      <c r="M370" s="690">
        <f t="shared" si="1000"/>
        <v>0</v>
      </c>
      <c r="N370" s="690">
        <f t="shared" ref="N370:S370" si="1001">N368*N369</f>
        <v>0</v>
      </c>
      <c r="O370" s="690">
        <f t="shared" si="1001"/>
        <v>0</v>
      </c>
      <c r="P370" s="690">
        <f t="shared" si="1001"/>
        <v>0</v>
      </c>
      <c r="Q370" s="690">
        <f t="shared" si="1001"/>
        <v>0</v>
      </c>
      <c r="R370" s="690">
        <f t="shared" si="1001"/>
        <v>0</v>
      </c>
      <c r="S370" s="690">
        <f t="shared" si="1001"/>
        <v>0</v>
      </c>
      <c r="T370" s="917">
        <f>SUM(H370:S370)</f>
        <v>0</v>
      </c>
      <c r="U370" s="690">
        <f t="shared" ref="U370:AF370" si="1002">U368*U369</f>
        <v>0</v>
      </c>
      <c r="V370" s="690">
        <f t="shared" si="1002"/>
        <v>0</v>
      </c>
      <c r="W370" s="690">
        <f t="shared" si="1002"/>
        <v>0</v>
      </c>
      <c r="X370" s="690">
        <f t="shared" si="1002"/>
        <v>0</v>
      </c>
      <c r="Y370" s="690">
        <f t="shared" si="1002"/>
        <v>0</v>
      </c>
      <c r="Z370" s="690">
        <f t="shared" si="1002"/>
        <v>0</v>
      </c>
      <c r="AA370" s="690">
        <f t="shared" si="1002"/>
        <v>0</v>
      </c>
      <c r="AB370" s="690">
        <f t="shared" si="1002"/>
        <v>0</v>
      </c>
      <c r="AC370" s="690">
        <f t="shared" si="1002"/>
        <v>0</v>
      </c>
      <c r="AD370" s="690">
        <f t="shared" si="1002"/>
        <v>0</v>
      </c>
      <c r="AE370" s="690">
        <f t="shared" si="1002"/>
        <v>0</v>
      </c>
      <c r="AF370" s="690">
        <f t="shared" si="1002"/>
        <v>0</v>
      </c>
      <c r="AG370" s="917">
        <f>SUM(U370:AF370)</f>
        <v>0</v>
      </c>
      <c r="AH370" s="902">
        <f t="shared" ref="AH370:AO370" si="1003">AH368*AH369</f>
        <v>0</v>
      </c>
      <c r="AI370" s="902">
        <f t="shared" si="1003"/>
        <v>0</v>
      </c>
      <c r="AJ370" s="902">
        <f t="shared" si="1003"/>
        <v>0</v>
      </c>
      <c r="AK370" s="902">
        <f t="shared" si="1003"/>
        <v>0</v>
      </c>
      <c r="AL370" s="902">
        <f t="shared" si="1003"/>
        <v>0</v>
      </c>
      <c r="AM370" s="902">
        <f t="shared" si="1003"/>
        <v>0</v>
      </c>
      <c r="AN370" s="902">
        <f t="shared" si="1003"/>
        <v>0</v>
      </c>
      <c r="AO370" s="996">
        <f t="shared" si="1003"/>
        <v>0</v>
      </c>
    </row>
    <row r="371" spans="1:42" s="18" customFormat="1" ht="13.15" customHeight="1" x14ac:dyDescent="0.2">
      <c r="A371" s="680" t="s">
        <v>249</v>
      </c>
      <c r="B371" s="680"/>
      <c r="C371" s="686">
        <f t="shared" ref="C371:F371" si="1004">C359</f>
        <v>2.5</v>
      </c>
      <c r="D371" s="686">
        <f t="shared" si="1004"/>
        <v>2.5</v>
      </c>
      <c r="E371" s="686">
        <f t="shared" si="1004"/>
        <v>2.5</v>
      </c>
      <c r="F371" s="686">
        <f t="shared" si="1004"/>
        <v>2.5</v>
      </c>
      <c r="G371" s="903">
        <f>F371</f>
        <v>2.5</v>
      </c>
      <c r="H371" s="686">
        <f t="shared" ref="H371:M371" si="1005">H359</f>
        <v>2.5</v>
      </c>
      <c r="I371" s="686">
        <f t="shared" si="1005"/>
        <v>2.5</v>
      </c>
      <c r="J371" s="686">
        <f t="shared" si="1005"/>
        <v>2.5</v>
      </c>
      <c r="K371" s="686">
        <f t="shared" si="1005"/>
        <v>2.5</v>
      </c>
      <c r="L371" s="686">
        <f t="shared" si="1005"/>
        <v>2.5</v>
      </c>
      <c r="M371" s="686">
        <f t="shared" si="1005"/>
        <v>2.5</v>
      </c>
      <c r="N371" s="686">
        <f t="shared" ref="N371:AO371" si="1006">N359</f>
        <v>2.5</v>
      </c>
      <c r="O371" s="686">
        <f t="shared" si="1006"/>
        <v>2.5</v>
      </c>
      <c r="P371" s="686">
        <f t="shared" si="1006"/>
        <v>2.5</v>
      </c>
      <c r="Q371" s="686">
        <f t="shared" si="1006"/>
        <v>2.5</v>
      </c>
      <c r="R371" s="686">
        <f t="shared" si="1006"/>
        <v>2.5</v>
      </c>
      <c r="S371" s="686">
        <f t="shared" si="1006"/>
        <v>2.5</v>
      </c>
      <c r="T371" s="919">
        <f t="shared" si="1006"/>
        <v>2.5</v>
      </c>
      <c r="U371" s="686">
        <f t="shared" si="1006"/>
        <v>2.5</v>
      </c>
      <c r="V371" s="686">
        <f t="shared" si="1006"/>
        <v>2.5</v>
      </c>
      <c r="W371" s="686">
        <f t="shared" si="1006"/>
        <v>2.5</v>
      </c>
      <c r="X371" s="686">
        <f t="shared" si="1006"/>
        <v>2.5</v>
      </c>
      <c r="Y371" s="686">
        <f t="shared" si="1006"/>
        <v>2.5</v>
      </c>
      <c r="Z371" s="686">
        <f t="shared" si="1006"/>
        <v>2.5</v>
      </c>
      <c r="AA371" s="686">
        <f t="shared" si="1006"/>
        <v>2.5</v>
      </c>
      <c r="AB371" s="686">
        <f t="shared" si="1006"/>
        <v>2.5</v>
      </c>
      <c r="AC371" s="686">
        <f t="shared" si="1006"/>
        <v>2.5</v>
      </c>
      <c r="AD371" s="686">
        <f t="shared" si="1006"/>
        <v>2.5</v>
      </c>
      <c r="AE371" s="686">
        <f t="shared" si="1006"/>
        <v>2.5</v>
      </c>
      <c r="AF371" s="686">
        <f t="shared" si="1006"/>
        <v>2.5</v>
      </c>
      <c r="AG371" s="919">
        <f t="shared" si="1006"/>
        <v>2.5</v>
      </c>
      <c r="AH371" s="919">
        <f t="shared" si="1006"/>
        <v>2.5</v>
      </c>
      <c r="AI371" s="919">
        <f t="shared" si="1006"/>
        <v>2.5</v>
      </c>
      <c r="AJ371" s="919">
        <f t="shared" si="1006"/>
        <v>2.5</v>
      </c>
      <c r="AK371" s="919">
        <f t="shared" si="1006"/>
        <v>2.5</v>
      </c>
      <c r="AL371" s="919">
        <f t="shared" si="1006"/>
        <v>2.5</v>
      </c>
      <c r="AM371" s="919">
        <f t="shared" si="1006"/>
        <v>2.5</v>
      </c>
      <c r="AN371" s="919">
        <f t="shared" si="1006"/>
        <v>2.5</v>
      </c>
      <c r="AO371" s="998">
        <f t="shared" si="1006"/>
        <v>2.5</v>
      </c>
    </row>
    <row r="372" spans="1:42" s="18" customFormat="1" ht="13.15" customHeight="1" x14ac:dyDescent="0.2">
      <c r="A372" s="680" t="s">
        <v>255</v>
      </c>
      <c r="B372" s="680"/>
      <c r="C372" s="690">
        <f t="shared" ref="C372:F372" si="1007">C370*C371</f>
        <v>0</v>
      </c>
      <c r="D372" s="690">
        <f t="shared" si="1007"/>
        <v>0</v>
      </c>
      <c r="E372" s="690">
        <f t="shared" si="1007"/>
        <v>0</v>
      </c>
      <c r="F372" s="690">
        <f t="shared" si="1007"/>
        <v>0</v>
      </c>
      <c r="G372" s="902">
        <f>SUM(C372:F372)</f>
        <v>0</v>
      </c>
      <c r="H372" s="690">
        <f t="shared" ref="H372:M372" si="1008">H370*H371</f>
        <v>0</v>
      </c>
      <c r="I372" s="690">
        <f t="shared" si="1008"/>
        <v>0</v>
      </c>
      <c r="J372" s="690">
        <f t="shared" si="1008"/>
        <v>0</v>
      </c>
      <c r="K372" s="690">
        <f t="shared" si="1008"/>
        <v>0</v>
      </c>
      <c r="L372" s="690">
        <f t="shared" si="1008"/>
        <v>0</v>
      </c>
      <c r="M372" s="690">
        <f t="shared" si="1008"/>
        <v>0</v>
      </c>
      <c r="N372" s="690">
        <f t="shared" ref="N372:S372" si="1009">N370*N371</f>
        <v>0</v>
      </c>
      <c r="O372" s="690">
        <f t="shared" si="1009"/>
        <v>0</v>
      </c>
      <c r="P372" s="690">
        <f t="shared" si="1009"/>
        <v>0</v>
      </c>
      <c r="Q372" s="690">
        <f t="shared" si="1009"/>
        <v>0</v>
      </c>
      <c r="R372" s="690">
        <f t="shared" si="1009"/>
        <v>0</v>
      </c>
      <c r="S372" s="690">
        <f t="shared" si="1009"/>
        <v>0</v>
      </c>
      <c r="T372" s="918">
        <f>SUM(H372:S372)</f>
        <v>0</v>
      </c>
      <c r="U372" s="690">
        <f t="shared" ref="U372:AF372" si="1010">U370*U371</f>
        <v>0</v>
      </c>
      <c r="V372" s="690">
        <f t="shared" si="1010"/>
        <v>0</v>
      </c>
      <c r="W372" s="690">
        <f t="shared" si="1010"/>
        <v>0</v>
      </c>
      <c r="X372" s="690">
        <f t="shared" si="1010"/>
        <v>0</v>
      </c>
      <c r="Y372" s="690">
        <f t="shared" si="1010"/>
        <v>0</v>
      </c>
      <c r="Z372" s="690">
        <f t="shared" si="1010"/>
        <v>0</v>
      </c>
      <c r="AA372" s="690">
        <f t="shared" si="1010"/>
        <v>0</v>
      </c>
      <c r="AB372" s="690">
        <f t="shared" si="1010"/>
        <v>0</v>
      </c>
      <c r="AC372" s="690">
        <f t="shared" si="1010"/>
        <v>0</v>
      </c>
      <c r="AD372" s="690">
        <f t="shared" si="1010"/>
        <v>0</v>
      </c>
      <c r="AE372" s="690">
        <f t="shared" si="1010"/>
        <v>0</v>
      </c>
      <c r="AF372" s="690">
        <f t="shared" si="1010"/>
        <v>0</v>
      </c>
      <c r="AG372" s="918">
        <f>SUM(U372:AF372)</f>
        <v>0</v>
      </c>
      <c r="AH372" s="902">
        <f t="shared" ref="AH372:AO372" si="1011">AH370*AH371</f>
        <v>0</v>
      </c>
      <c r="AI372" s="902">
        <f t="shared" si="1011"/>
        <v>0</v>
      </c>
      <c r="AJ372" s="902">
        <f t="shared" si="1011"/>
        <v>0</v>
      </c>
      <c r="AK372" s="902">
        <f t="shared" si="1011"/>
        <v>0</v>
      </c>
      <c r="AL372" s="902">
        <f t="shared" si="1011"/>
        <v>0</v>
      </c>
      <c r="AM372" s="902">
        <f t="shared" si="1011"/>
        <v>0</v>
      </c>
      <c r="AN372" s="902">
        <f t="shared" si="1011"/>
        <v>0</v>
      </c>
      <c r="AO372" s="996">
        <f t="shared" si="1011"/>
        <v>0</v>
      </c>
    </row>
    <row r="373" spans="1:42" s="18" customFormat="1" ht="13.15" customHeight="1" x14ac:dyDescent="0.2">
      <c r="A373" s="680"/>
      <c r="B373" s="680"/>
      <c r="C373" s="682"/>
      <c r="D373" s="682"/>
      <c r="E373" s="682"/>
      <c r="F373" s="682"/>
      <c r="G373" s="900"/>
      <c r="H373" s="682"/>
      <c r="I373" s="682"/>
      <c r="J373" s="682"/>
      <c r="K373" s="682"/>
      <c r="L373" s="682"/>
      <c r="M373" s="682"/>
      <c r="N373" s="682"/>
      <c r="O373" s="682"/>
      <c r="P373" s="682"/>
      <c r="Q373" s="682"/>
      <c r="R373" s="682"/>
      <c r="S373" s="682"/>
      <c r="T373" s="917"/>
      <c r="U373" s="682"/>
      <c r="V373" s="682"/>
      <c r="W373" s="682"/>
      <c r="X373" s="682"/>
      <c r="Y373" s="682"/>
      <c r="Z373" s="682"/>
      <c r="AA373" s="682"/>
      <c r="AB373" s="682"/>
      <c r="AC373" s="682"/>
      <c r="AD373" s="682"/>
      <c r="AE373" s="682"/>
      <c r="AF373" s="682"/>
      <c r="AG373" s="917"/>
      <c r="AH373" s="917"/>
      <c r="AI373" s="917"/>
      <c r="AJ373" s="917"/>
      <c r="AK373" s="924"/>
      <c r="AL373" s="924"/>
      <c r="AM373" s="924"/>
      <c r="AN373" s="924"/>
      <c r="AO373" s="995"/>
    </row>
    <row r="374" spans="1:42" s="277" customFormat="1" ht="13.15" customHeight="1" x14ac:dyDescent="0.2">
      <c r="A374" s="676" t="s">
        <v>257</v>
      </c>
      <c r="B374" s="676"/>
      <c r="C374" s="694">
        <f t="shared" ref="C374:F374" si="1012">C360+C366+C372</f>
        <v>0</v>
      </c>
      <c r="D374" s="694">
        <f t="shared" si="1012"/>
        <v>0</v>
      </c>
      <c r="E374" s="694">
        <f t="shared" si="1012"/>
        <v>0</v>
      </c>
      <c r="F374" s="694">
        <f t="shared" si="1012"/>
        <v>0</v>
      </c>
      <c r="G374" s="904">
        <f>SUM(C374:F374)</f>
        <v>0</v>
      </c>
      <c r="H374" s="694">
        <f t="shared" ref="H374:M374" si="1013">H360+H366+H372</f>
        <v>0</v>
      </c>
      <c r="I374" s="694">
        <f t="shared" si="1013"/>
        <v>0</v>
      </c>
      <c r="J374" s="694">
        <f t="shared" si="1013"/>
        <v>0</v>
      </c>
      <c r="K374" s="694">
        <f t="shared" si="1013"/>
        <v>0</v>
      </c>
      <c r="L374" s="694">
        <f t="shared" si="1013"/>
        <v>0</v>
      </c>
      <c r="M374" s="694">
        <f t="shared" si="1013"/>
        <v>0</v>
      </c>
      <c r="N374" s="694">
        <f t="shared" ref="N374:S374" si="1014">N360+N366+N372</f>
        <v>0</v>
      </c>
      <c r="O374" s="694">
        <f t="shared" si="1014"/>
        <v>0</v>
      </c>
      <c r="P374" s="694">
        <f t="shared" si="1014"/>
        <v>0</v>
      </c>
      <c r="Q374" s="694">
        <f t="shared" si="1014"/>
        <v>0</v>
      </c>
      <c r="R374" s="694">
        <f t="shared" si="1014"/>
        <v>0</v>
      </c>
      <c r="S374" s="694">
        <f t="shared" si="1014"/>
        <v>0</v>
      </c>
      <c r="T374" s="915">
        <f>SUM(H374:S374)</f>
        <v>0</v>
      </c>
      <c r="U374" s="694">
        <f t="shared" ref="U374:AF374" si="1015">U360+U366+U372</f>
        <v>0</v>
      </c>
      <c r="V374" s="694">
        <f t="shared" si="1015"/>
        <v>0</v>
      </c>
      <c r="W374" s="694">
        <f t="shared" si="1015"/>
        <v>0</v>
      </c>
      <c r="X374" s="694">
        <f t="shared" si="1015"/>
        <v>0</v>
      </c>
      <c r="Y374" s="694">
        <f t="shared" si="1015"/>
        <v>0</v>
      </c>
      <c r="Z374" s="694">
        <f t="shared" si="1015"/>
        <v>0</v>
      </c>
      <c r="AA374" s="694">
        <f t="shared" si="1015"/>
        <v>0</v>
      </c>
      <c r="AB374" s="694">
        <f t="shared" si="1015"/>
        <v>0</v>
      </c>
      <c r="AC374" s="694">
        <f t="shared" si="1015"/>
        <v>0</v>
      </c>
      <c r="AD374" s="694">
        <f t="shared" si="1015"/>
        <v>0</v>
      </c>
      <c r="AE374" s="694">
        <f t="shared" si="1015"/>
        <v>0</v>
      </c>
      <c r="AF374" s="694">
        <f t="shared" si="1015"/>
        <v>0</v>
      </c>
      <c r="AG374" s="904">
        <f>SUM(U374:AF374)</f>
        <v>0</v>
      </c>
      <c r="AH374" s="904">
        <f t="shared" ref="AH374:AO374" si="1016">AH360+AH366+AH372</f>
        <v>0</v>
      </c>
      <c r="AI374" s="904">
        <f t="shared" si="1016"/>
        <v>85.995000000000005</v>
      </c>
      <c r="AJ374" s="904">
        <f t="shared" si="1016"/>
        <v>354.29939999999999</v>
      </c>
      <c r="AK374" s="904">
        <f t="shared" si="1016"/>
        <v>813.11712299999976</v>
      </c>
      <c r="AL374" s="904">
        <f t="shared" si="1016"/>
        <v>1642.4965884599997</v>
      </c>
      <c r="AM374" s="904">
        <f t="shared" si="1016"/>
        <v>2767.9109175899998</v>
      </c>
      <c r="AN374" s="904">
        <f t="shared" si="1016"/>
        <v>3649.9924187999995</v>
      </c>
      <c r="AO374" s="1001">
        <f t="shared" si="1016"/>
        <v>4258.3244886000002</v>
      </c>
    </row>
    <row r="375" spans="1:42" s="18" customFormat="1" ht="13.15" customHeight="1" x14ac:dyDescent="0.2">
      <c r="A375" s="680"/>
      <c r="B375" s="680"/>
      <c r="C375" s="682"/>
      <c r="D375" s="682"/>
      <c r="E375" s="682"/>
      <c r="F375" s="682"/>
      <c r="G375" s="900"/>
      <c r="H375" s="682"/>
      <c r="I375" s="682"/>
      <c r="J375" s="682"/>
      <c r="K375" s="682"/>
      <c r="L375" s="682"/>
      <c r="M375" s="682"/>
      <c r="N375" s="682"/>
      <c r="O375" s="682"/>
      <c r="P375" s="682"/>
      <c r="Q375" s="682"/>
      <c r="R375" s="682"/>
      <c r="S375" s="682"/>
      <c r="T375" s="917"/>
      <c r="U375" s="682"/>
      <c r="V375" s="682"/>
      <c r="W375" s="682"/>
      <c r="X375" s="682"/>
      <c r="Y375" s="682"/>
      <c r="Z375" s="682"/>
      <c r="AA375" s="682"/>
      <c r="AB375" s="682"/>
      <c r="AC375" s="682"/>
      <c r="AD375" s="682"/>
      <c r="AE375" s="682"/>
      <c r="AF375" s="682"/>
      <c r="AG375" s="917"/>
      <c r="AH375" s="917"/>
      <c r="AI375" s="917"/>
      <c r="AJ375" s="917"/>
      <c r="AK375" s="924"/>
      <c r="AL375" s="924"/>
      <c r="AM375" s="924"/>
      <c r="AN375" s="924"/>
      <c r="AO375" s="995"/>
    </row>
    <row r="376" spans="1:42" s="18" customFormat="1" ht="13.15" customHeight="1" x14ac:dyDescent="0.2">
      <c r="A376" s="680" t="s">
        <v>258</v>
      </c>
      <c r="B376" s="680"/>
      <c r="C376" s="767">
        <f t="shared" ref="C376:F376" si="1017">C295</f>
        <v>300</v>
      </c>
      <c r="D376" s="767">
        <f t="shared" si="1017"/>
        <v>300</v>
      </c>
      <c r="E376" s="767">
        <f t="shared" si="1017"/>
        <v>300</v>
      </c>
      <c r="F376" s="767">
        <f t="shared" si="1017"/>
        <v>300</v>
      </c>
      <c r="G376" s="905">
        <f>F376</f>
        <v>300</v>
      </c>
      <c r="H376" s="767">
        <f t="shared" ref="H376:M376" si="1018">H295</f>
        <v>300</v>
      </c>
      <c r="I376" s="767">
        <f t="shared" si="1018"/>
        <v>300</v>
      </c>
      <c r="J376" s="767">
        <f t="shared" si="1018"/>
        <v>300</v>
      </c>
      <c r="K376" s="767">
        <f t="shared" si="1018"/>
        <v>300</v>
      </c>
      <c r="L376" s="767">
        <f t="shared" si="1018"/>
        <v>300</v>
      </c>
      <c r="M376" s="767">
        <f t="shared" si="1018"/>
        <v>300</v>
      </c>
      <c r="N376" s="767">
        <f t="shared" ref="N376:AO376" si="1019">N$25</f>
        <v>300</v>
      </c>
      <c r="O376" s="767">
        <f t="shared" si="1019"/>
        <v>300</v>
      </c>
      <c r="P376" s="767">
        <f t="shared" si="1019"/>
        <v>300</v>
      </c>
      <c r="Q376" s="767">
        <f t="shared" si="1019"/>
        <v>300</v>
      </c>
      <c r="R376" s="767">
        <f t="shared" si="1019"/>
        <v>300</v>
      </c>
      <c r="S376" s="767">
        <f t="shared" si="1019"/>
        <v>300</v>
      </c>
      <c r="T376" s="905">
        <f t="shared" si="1019"/>
        <v>300</v>
      </c>
      <c r="U376" s="767">
        <f t="shared" si="1019"/>
        <v>300</v>
      </c>
      <c r="V376" s="767">
        <f t="shared" si="1019"/>
        <v>300</v>
      </c>
      <c r="W376" s="767">
        <f t="shared" si="1019"/>
        <v>300</v>
      </c>
      <c r="X376" s="767">
        <f t="shared" si="1019"/>
        <v>300</v>
      </c>
      <c r="Y376" s="767">
        <f t="shared" si="1019"/>
        <v>300</v>
      </c>
      <c r="Z376" s="767">
        <f t="shared" si="1019"/>
        <v>300</v>
      </c>
      <c r="AA376" s="767">
        <f t="shared" si="1019"/>
        <v>300</v>
      </c>
      <c r="AB376" s="767">
        <f t="shared" si="1019"/>
        <v>300</v>
      </c>
      <c r="AC376" s="767">
        <f t="shared" si="1019"/>
        <v>300</v>
      </c>
      <c r="AD376" s="767">
        <f t="shared" si="1019"/>
        <v>300</v>
      </c>
      <c r="AE376" s="767">
        <f t="shared" si="1019"/>
        <v>300</v>
      </c>
      <c r="AF376" s="767">
        <f t="shared" si="1019"/>
        <v>300</v>
      </c>
      <c r="AG376" s="905">
        <f t="shared" si="1019"/>
        <v>300</v>
      </c>
      <c r="AH376" s="905">
        <f t="shared" si="1019"/>
        <v>300</v>
      </c>
      <c r="AI376" s="905">
        <f t="shared" si="1019"/>
        <v>300</v>
      </c>
      <c r="AJ376" s="905">
        <f t="shared" si="1019"/>
        <v>300</v>
      </c>
      <c r="AK376" s="905">
        <f t="shared" si="1019"/>
        <v>300</v>
      </c>
      <c r="AL376" s="905">
        <f t="shared" si="1019"/>
        <v>300</v>
      </c>
      <c r="AM376" s="905">
        <f t="shared" si="1019"/>
        <v>300</v>
      </c>
      <c r="AN376" s="905">
        <f t="shared" si="1019"/>
        <v>300</v>
      </c>
      <c r="AO376" s="1002">
        <f t="shared" si="1019"/>
        <v>300</v>
      </c>
      <c r="AP376" s="988"/>
    </row>
    <row r="377" spans="1:42" s="18" customFormat="1" ht="13.15" customHeight="1" x14ac:dyDescent="0.2">
      <c r="A377" s="680"/>
      <c r="B377" s="680"/>
      <c r="C377" s="682"/>
      <c r="D377" s="682"/>
      <c r="E377" s="682"/>
      <c r="F377" s="682"/>
      <c r="G377" s="900"/>
      <c r="H377" s="682"/>
      <c r="I377" s="682"/>
      <c r="J377" s="682"/>
      <c r="K377" s="682"/>
      <c r="L377" s="682"/>
      <c r="M377" s="682"/>
      <c r="N377" s="682"/>
      <c r="O377" s="682"/>
      <c r="P377" s="682"/>
      <c r="Q377" s="682"/>
      <c r="R377" s="682"/>
      <c r="S377" s="682"/>
      <c r="T377" s="917"/>
      <c r="U377" s="682"/>
      <c r="V377" s="682"/>
      <c r="W377" s="682"/>
      <c r="X377" s="682"/>
      <c r="Y377" s="682"/>
      <c r="Z377" s="682"/>
      <c r="AA377" s="682"/>
      <c r="AB377" s="682"/>
      <c r="AC377" s="682"/>
      <c r="AD377" s="682"/>
      <c r="AE377" s="682"/>
      <c r="AF377" s="682"/>
      <c r="AG377" s="917"/>
      <c r="AH377" s="917"/>
      <c r="AI377" s="917"/>
      <c r="AJ377" s="917"/>
      <c r="AK377" s="924"/>
      <c r="AL377" s="924"/>
      <c r="AM377" s="924"/>
      <c r="AN377" s="924"/>
      <c r="AO377" s="995"/>
    </row>
    <row r="378" spans="1:42" s="794" customFormat="1" ht="13.15" customHeight="1" x14ac:dyDescent="0.2">
      <c r="A378" s="763" t="s">
        <v>427</v>
      </c>
      <c r="B378" s="763"/>
      <c r="C378" s="765">
        <f t="shared" ref="C378:F378" si="1020">C374*C376</f>
        <v>0</v>
      </c>
      <c r="D378" s="765">
        <f t="shared" si="1020"/>
        <v>0</v>
      </c>
      <c r="E378" s="765">
        <f t="shared" si="1020"/>
        <v>0</v>
      </c>
      <c r="F378" s="765">
        <f t="shared" si="1020"/>
        <v>0</v>
      </c>
      <c r="G378" s="906">
        <f>SUM(C378:F378)</f>
        <v>0</v>
      </c>
      <c r="H378" s="765">
        <f t="shared" ref="H378:M378" si="1021">H374*H376</f>
        <v>0</v>
      </c>
      <c r="I378" s="765">
        <f t="shared" si="1021"/>
        <v>0</v>
      </c>
      <c r="J378" s="765">
        <f t="shared" si="1021"/>
        <v>0</v>
      </c>
      <c r="K378" s="765">
        <f t="shared" si="1021"/>
        <v>0</v>
      </c>
      <c r="L378" s="765">
        <f t="shared" si="1021"/>
        <v>0</v>
      </c>
      <c r="M378" s="765">
        <f t="shared" si="1021"/>
        <v>0</v>
      </c>
      <c r="N378" s="765">
        <f t="shared" ref="N378:S378" si="1022">N374*N376</f>
        <v>0</v>
      </c>
      <c r="O378" s="765">
        <f t="shared" si="1022"/>
        <v>0</v>
      </c>
      <c r="P378" s="765">
        <f t="shared" si="1022"/>
        <v>0</v>
      </c>
      <c r="Q378" s="765">
        <f t="shared" si="1022"/>
        <v>0</v>
      </c>
      <c r="R378" s="765">
        <f t="shared" si="1022"/>
        <v>0</v>
      </c>
      <c r="S378" s="765">
        <f t="shared" si="1022"/>
        <v>0</v>
      </c>
      <c r="T378" s="906">
        <f>SUM(H378:S378)</f>
        <v>0</v>
      </c>
      <c r="U378" s="765">
        <f>U374*U376</f>
        <v>0</v>
      </c>
      <c r="V378" s="765">
        <f t="shared" ref="V378:AF378" si="1023">V374*V376</f>
        <v>0</v>
      </c>
      <c r="W378" s="765">
        <f t="shared" si="1023"/>
        <v>0</v>
      </c>
      <c r="X378" s="765">
        <f t="shared" si="1023"/>
        <v>0</v>
      </c>
      <c r="Y378" s="765">
        <f t="shared" si="1023"/>
        <v>0</v>
      </c>
      <c r="Z378" s="765">
        <f t="shared" si="1023"/>
        <v>0</v>
      </c>
      <c r="AA378" s="765">
        <f t="shared" si="1023"/>
        <v>0</v>
      </c>
      <c r="AB378" s="765">
        <f t="shared" si="1023"/>
        <v>0</v>
      </c>
      <c r="AC378" s="765">
        <f t="shared" si="1023"/>
        <v>0</v>
      </c>
      <c r="AD378" s="765">
        <f t="shared" si="1023"/>
        <v>0</v>
      </c>
      <c r="AE378" s="765">
        <f t="shared" si="1023"/>
        <v>0</v>
      </c>
      <c r="AF378" s="765">
        <f t="shared" si="1023"/>
        <v>0</v>
      </c>
      <c r="AG378" s="906">
        <f>SUM(U378:AF378)</f>
        <v>0</v>
      </c>
      <c r="AH378" s="906">
        <f t="shared" ref="AH378:AO378" si="1024">AH374*AH376</f>
        <v>0</v>
      </c>
      <c r="AI378" s="906">
        <f t="shared" si="1024"/>
        <v>25798.5</v>
      </c>
      <c r="AJ378" s="906">
        <f t="shared" si="1024"/>
        <v>106289.81999999999</v>
      </c>
      <c r="AK378" s="906">
        <f t="shared" si="1024"/>
        <v>243935.13689999992</v>
      </c>
      <c r="AL378" s="906">
        <f t="shared" si="1024"/>
        <v>492748.97653799987</v>
      </c>
      <c r="AM378" s="906">
        <f t="shared" si="1024"/>
        <v>830373.27527699992</v>
      </c>
      <c r="AN378" s="906">
        <f t="shared" si="1024"/>
        <v>1094997.7256399998</v>
      </c>
      <c r="AO378" s="1003">
        <f t="shared" si="1024"/>
        <v>1277497.3465800001</v>
      </c>
      <c r="AP378" s="277"/>
    </row>
    <row r="379" spans="1:42" s="18" customFormat="1" ht="13.15" customHeight="1" x14ac:dyDescent="0.2">
      <c r="A379" s="680"/>
      <c r="B379" s="680"/>
      <c r="C379" s="680"/>
      <c r="D379" s="680"/>
      <c r="E379" s="680"/>
      <c r="F379" s="680"/>
      <c r="G379" s="900"/>
      <c r="H379" s="682"/>
      <c r="I379" s="682"/>
      <c r="J379" s="682"/>
      <c r="K379" s="682"/>
      <c r="L379" s="682"/>
      <c r="M379" s="682"/>
      <c r="N379" s="682"/>
      <c r="O379" s="682"/>
      <c r="P379" s="682"/>
      <c r="Q379" s="682"/>
      <c r="R379" s="682"/>
      <c r="S379" s="682"/>
      <c r="T379" s="917"/>
      <c r="U379" s="682"/>
      <c r="V379" s="682"/>
      <c r="W379" s="682"/>
      <c r="X379" s="682"/>
      <c r="Y379" s="682"/>
      <c r="Z379" s="682"/>
      <c r="AA379" s="682"/>
      <c r="AB379" s="682"/>
      <c r="AC379" s="682"/>
      <c r="AD379" s="682"/>
      <c r="AE379" s="682"/>
      <c r="AF379" s="682"/>
      <c r="AG379" s="917"/>
      <c r="AH379" s="917"/>
      <c r="AI379" s="917"/>
      <c r="AJ379" s="917"/>
      <c r="AK379" s="924"/>
      <c r="AL379" s="924"/>
      <c r="AM379" s="924"/>
      <c r="AN379" s="924"/>
      <c r="AO379" s="995"/>
    </row>
    <row r="380" spans="1:42" s="18" customFormat="1" ht="13.15" customHeight="1" x14ac:dyDescent="0.2">
      <c r="A380" s="680"/>
      <c r="B380" s="680"/>
      <c r="C380" s="680"/>
      <c r="D380" s="680"/>
      <c r="E380" s="680"/>
      <c r="F380" s="680"/>
      <c r="G380" s="900"/>
      <c r="H380" s="682"/>
      <c r="I380" s="682"/>
      <c r="J380" s="682"/>
      <c r="K380" s="682"/>
      <c r="L380" s="682"/>
      <c r="M380" s="682"/>
      <c r="N380" s="682"/>
      <c r="O380" s="682"/>
      <c r="P380" s="682"/>
      <c r="Q380" s="682"/>
      <c r="R380" s="682"/>
      <c r="S380" s="682"/>
      <c r="T380" s="917"/>
      <c r="U380" s="682"/>
      <c r="V380" s="682"/>
      <c r="W380" s="682"/>
      <c r="X380" s="682"/>
      <c r="Y380" s="682"/>
      <c r="Z380" s="682"/>
      <c r="AA380" s="682"/>
      <c r="AB380" s="682"/>
      <c r="AC380" s="682"/>
      <c r="AD380" s="682"/>
      <c r="AE380" s="682"/>
      <c r="AF380" s="682"/>
      <c r="AG380" s="917"/>
      <c r="AH380" s="917"/>
      <c r="AI380" s="917"/>
      <c r="AJ380" s="917"/>
      <c r="AK380" s="924"/>
      <c r="AL380" s="924"/>
      <c r="AM380" s="924"/>
      <c r="AN380" s="924"/>
      <c r="AO380" s="995"/>
    </row>
    <row r="381" spans="1:42" s="18" customFormat="1" ht="13.15" customHeight="1" x14ac:dyDescent="0.2">
      <c r="A381" s="676" t="s">
        <v>454</v>
      </c>
      <c r="B381" s="676"/>
      <c r="C381" s="676"/>
      <c r="D381" s="676"/>
      <c r="E381" s="676"/>
      <c r="F381" s="676"/>
      <c r="G381" s="898"/>
      <c r="H381" s="678"/>
      <c r="I381" s="678"/>
      <c r="J381" s="678"/>
      <c r="K381" s="678"/>
      <c r="L381" s="678"/>
      <c r="M381" s="678"/>
      <c r="N381" s="678"/>
      <c r="O381" s="678"/>
      <c r="P381" s="678"/>
      <c r="Q381" s="678"/>
      <c r="R381" s="678"/>
      <c r="S381" s="678"/>
      <c r="T381" s="915"/>
      <c r="U381" s="678"/>
      <c r="V381" s="678"/>
      <c r="W381" s="678"/>
      <c r="X381" s="678"/>
      <c r="Y381" s="678"/>
      <c r="Z381" s="678"/>
      <c r="AA381" s="678"/>
      <c r="AB381" s="678"/>
      <c r="AC381" s="678"/>
      <c r="AD381" s="678"/>
      <c r="AE381" s="678"/>
      <c r="AF381" s="678"/>
      <c r="AG381" s="915"/>
      <c r="AH381" s="915"/>
      <c r="AI381" s="915"/>
      <c r="AJ381" s="915"/>
      <c r="AK381" s="924"/>
      <c r="AL381" s="924"/>
      <c r="AM381" s="924"/>
      <c r="AN381" s="924"/>
      <c r="AO381" s="995"/>
    </row>
    <row r="382" spans="1:42" s="18" customFormat="1" ht="13.15" customHeight="1" x14ac:dyDescent="0.2">
      <c r="A382" s="674" t="s">
        <v>250</v>
      </c>
      <c r="B382" s="674"/>
      <c r="C382" s="690">
        <f>$G382/12</f>
        <v>375</v>
      </c>
      <c r="D382" s="690">
        <f t="shared" ref="D382:F382" si="1025">$G382/12</f>
        <v>375</v>
      </c>
      <c r="E382" s="690">
        <f t="shared" si="1025"/>
        <v>375</v>
      </c>
      <c r="F382" s="690">
        <f t="shared" si="1025"/>
        <v>375</v>
      </c>
      <c r="G382" s="899">
        <v>4500</v>
      </c>
      <c r="H382" s="690">
        <f t="shared" ref="H382:M382" si="1026">$T382/12</f>
        <v>375</v>
      </c>
      <c r="I382" s="690">
        <f t="shared" si="1026"/>
        <v>375</v>
      </c>
      <c r="J382" s="690">
        <f t="shared" si="1026"/>
        <v>375</v>
      </c>
      <c r="K382" s="690">
        <f t="shared" si="1026"/>
        <v>375</v>
      </c>
      <c r="L382" s="690">
        <f t="shared" si="1026"/>
        <v>375</v>
      </c>
      <c r="M382" s="690">
        <f t="shared" si="1026"/>
        <v>375</v>
      </c>
      <c r="N382" s="690">
        <f t="shared" ref="N382:S382" si="1027">$T382/12</f>
        <v>375</v>
      </c>
      <c r="O382" s="690">
        <f t="shared" si="1027"/>
        <v>375</v>
      </c>
      <c r="P382" s="690">
        <f t="shared" si="1027"/>
        <v>375</v>
      </c>
      <c r="Q382" s="690">
        <f t="shared" si="1027"/>
        <v>375</v>
      </c>
      <c r="R382" s="690">
        <f t="shared" si="1027"/>
        <v>375</v>
      </c>
      <c r="S382" s="690">
        <f t="shared" si="1027"/>
        <v>375</v>
      </c>
      <c r="T382" s="899">
        <v>4500</v>
      </c>
      <c r="U382" s="690">
        <f>$AG382/12</f>
        <v>393.75</v>
      </c>
      <c r="V382" s="690">
        <f t="shared" ref="V382:AF382" si="1028">$AG382/12</f>
        <v>393.75</v>
      </c>
      <c r="W382" s="690">
        <f t="shared" si="1028"/>
        <v>393.75</v>
      </c>
      <c r="X382" s="690">
        <f t="shared" si="1028"/>
        <v>393.75</v>
      </c>
      <c r="Y382" s="690">
        <f t="shared" si="1028"/>
        <v>393.75</v>
      </c>
      <c r="Z382" s="690">
        <f t="shared" si="1028"/>
        <v>393.75</v>
      </c>
      <c r="AA382" s="690">
        <f t="shared" si="1028"/>
        <v>393.75</v>
      </c>
      <c r="AB382" s="690">
        <f t="shared" si="1028"/>
        <v>393.75</v>
      </c>
      <c r="AC382" s="690">
        <f t="shared" si="1028"/>
        <v>393.75</v>
      </c>
      <c r="AD382" s="690">
        <f t="shared" si="1028"/>
        <v>393.75</v>
      </c>
      <c r="AE382" s="690">
        <f t="shared" si="1028"/>
        <v>393.75</v>
      </c>
      <c r="AF382" s="690">
        <f t="shared" si="1028"/>
        <v>393.75</v>
      </c>
      <c r="AG382" s="902">
        <f>T382*(1+AG383)</f>
        <v>4725</v>
      </c>
      <c r="AH382" s="902">
        <f t="shared" ref="AH382:AO382" si="1029">AG382*(1+AH383)</f>
        <v>4961.25</v>
      </c>
      <c r="AI382" s="902">
        <f t="shared" si="1029"/>
        <v>5159.7</v>
      </c>
      <c r="AJ382" s="902">
        <f t="shared" si="1029"/>
        <v>5314.491</v>
      </c>
      <c r="AK382" s="902">
        <f t="shared" si="1029"/>
        <v>5420.7808199999999</v>
      </c>
      <c r="AL382" s="902">
        <f t="shared" si="1029"/>
        <v>5474.9886281999998</v>
      </c>
      <c r="AM382" s="902">
        <f t="shared" si="1029"/>
        <v>5474.9886281999998</v>
      </c>
      <c r="AN382" s="902">
        <f t="shared" si="1029"/>
        <v>5474.9886281999998</v>
      </c>
      <c r="AO382" s="996">
        <f t="shared" si="1029"/>
        <v>5474.9886281999998</v>
      </c>
    </row>
    <row r="383" spans="1:42" s="987" customFormat="1" ht="13.15" customHeight="1" x14ac:dyDescent="0.2">
      <c r="A383" s="680" t="s">
        <v>324</v>
      </c>
      <c r="B383" s="680"/>
      <c r="C383" s="687"/>
      <c r="D383" s="687"/>
      <c r="E383" s="687"/>
      <c r="F383" s="687"/>
      <c r="G383" s="900"/>
      <c r="H383" s="687"/>
      <c r="I383" s="687"/>
      <c r="J383" s="687"/>
      <c r="K383" s="687"/>
      <c r="L383" s="687"/>
      <c r="M383" s="687"/>
      <c r="N383" s="687"/>
      <c r="O383" s="687"/>
      <c r="P383" s="687"/>
      <c r="Q383" s="687"/>
      <c r="R383" s="687"/>
      <c r="S383" s="687"/>
      <c r="T383" s="916"/>
      <c r="U383" s="687"/>
      <c r="V383" s="687"/>
      <c r="W383" s="687"/>
      <c r="X383" s="687"/>
      <c r="Y383" s="687"/>
      <c r="Z383" s="687"/>
      <c r="AA383" s="687"/>
      <c r="AB383" s="687"/>
      <c r="AC383" s="687"/>
      <c r="AD383" s="687"/>
      <c r="AE383" s="687"/>
      <c r="AF383" s="687"/>
      <c r="AG383" s="921">
        <v>0.05</v>
      </c>
      <c r="AH383" s="921">
        <v>0.05</v>
      </c>
      <c r="AI383" s="921">
        <f>AH383-1%</f>
        <v>0.04</v>
      </c>
      <c r="AJ383" s="921">
        <f>AI383-1%</f>
        <v>0.03</v>
      </c>
      <c r="AK383" s="921">
        <f>AJ383-1%</f>
        <v>1.9999999999999997E-2</v>
      </c>
      <c r="AL383" s="921">
        <f>AK383-1%</f>
        <v>9.9999999999999967E-3</v>
      </c>
      <c r="AM383" s="921">
        <f>AL383-1%</f>
        <v>0</v>
      </c>
      <c r="AN383" s="925">
        <f>AM383</f>
        <v>0</v>
      </c>
      <c r="AO383" s="997">
        <f>AN383</f>
        <v>0</v>
      </c>
    </row>
    <row r="384" spans="1:42" s="987" customFormat="1" ht="13.15" customHeight="1" x14ac:dyDescent="0.2">
      <c r="A384" s="680" t="s">
        <v>248</v>
      </c>
      <c r="B384" s="680"/>
      <c r="C384" s="687">
        <f t="shared" ref="C384:F384" si="1030">C357</f>
        <v>0</v>
      </c>
      <c r="D384" s="687">
        <f t="shared" si="1030"/>
        <v>0</v>
      </c>
      <c r="E384" s="687">
        <f t="shared" si="1030"/>
        <v>0</v>
      </c>
      <c r="F384" s="687">
        <f t="shared" si="1030"/>
        <v>0</v>
      </c>
      <c r="G384" s="900">
        <f>F384</f>
        <v>0</v>
      </c>
      <c r="H384" s="687">
        <f t="shared" ref="H384:M384" si="1031">H357</f>
        <v>0</v>
      </c>
      <c r="I384" s="687">
        <f t="shared" si="1031"/>
        <v>0</v>
      </c>
      <c r="J384" s="687">
        <f t="shared" si="1031"/>
        <v>0</v>
      </c>
      <c r="K384" s="687">
        <f t="shared" si="1031"/>
        <v>0</v>
      </c>
      <c r="L384" s="687">
        <f t="shared" si="1031"/>
        <v>0</v>
      </c>
      <c r="M384" s="687">
        <f t="shared" si="1031"/>
        <v>0</v>
      </c>
      <c r="N384" s="687">
        <f t="shared" ref="N384:S384" si="1032">N357</f>
        <v>0</v>
      </c>
      <c r="O384" s="687">
        <f t="shared" si="1032"/>
        <v>0</v>
      </c>
      <c r="P384" s="687">
        <f t="shared" si="1032"/>
        <v>0</v>
      </c>
      <c r="Q384" s="687">
        <f t="shared" si="1032"/>
        <v>0</v>
      </c>
      <c r="R384" s="687">
        <f t="shared" si="1032"/>
        <v>0</v>
      </c>
      <c r="S384" s="687">
        <f t="shared" si="1032"/>
        <v>0</v>
      </c>
      <c r="T384" s="916">
        <f>S384</f>
        <v>0</v>
      </c>
      <c r="U384" s="687">
        <v>0</v>
      </c>
      <c r="V384" s="687">
        <f t="shared" ref="V384:AG384" si="1033">U384</f>
        <v>0</v>
      </c>
      <c r="W384" s="687">
        <f t="shared" si="1033"/>
        <v>0</v>
      </c>
      <c r="X384" s="687">
        <f t="shared" si="1033"/>
        <v>0</v>
      </c>
      <c r="Y384" s="687">
        <f t="shared" si="1033"/>
        <v>0</v>
      </c>
      <c r="Z384" s="687">
        <f t="shared" si="1033"/>
        <v>0</v>
      </c>
      <c r="AA384" s="687">
        <f t="shared" si="1033"/>
        <v>0</v>
      </c>
      <c r="AB384" s="687">
        <f t="shared" si="1033"/>
        <v>0</v>
      </c>
      <c r="AC384" s="687">
        <f t="shared" si="1033"/>
        <v>0</v>
      </c>
      <c r="AD384" s="687">
        <f t="shared" si="1033"/>
        <v>0</v>
      </c>
      <c r="AE384" s="687">
        <f t="shared" si="1033"/>
        <v>0</v>
      </c>
      <c r="AF384" s="687">
        <f t="shared" si="1033"/>
        <v>0</v>
      </c>
      <c r="AG384" s="916">
        <f t="shared" si="1033"/>
        <v>0</v>
      </c>
      <c r="AH384" s="921">
        <f>AH357</f>
        <v>0</v>
      </c>
      <c r="AI384" s="921">
        <f t="shared" ref="AI384:AO384" si="1034">AI357</f>
        <v>6.0000000000000001E-3</v>
      </c>
      <c r="AJ384" s="921">
        <f t="shared" si="1034"/>
        <v>1.7999999999999999E-2</v>
      </c>
      <c r="AK384" s="921">
        <f t="shared" si="1034"/>
        <v>3.5999999999999997E-2</v>
      </c>
      <c r="AL384" s="921">
        <f t="shared" si="1034"/>
        <v>7.1999999999999995E-2</v>
      </c>
      <c r="AM384" s="921">
        <f t="shared" si="1034"/>
        <v>0.11</v>
      </c>
      <c r="AN384" s="921">
        <f t="shared" si="1034"/>
        <v>0.13</v>
      </c>
      <c r="AO384" s="1004">
        <f t="shared" si="1034"/>
        <v>0.15</v>
      </c>
    </row>
    <row r="385" spans="1:42" s="18" customFormat="1" ht="13.15" customHeight="1" x14ac:dyDescent="0.2">
      <c r="A385" s="680" t="s">
        <v>251</v>
      </c>
      <c r="B385" s="680"/>
      <c r="C385" s="690">
        <f t="shared" ref="C385:F385" si="1035">C382*C384</f>
        <v>0</v>
      </c>
      <c r="D385" s="690">
        <f t="shared" si="1035"/>
        <v>0</v>
      </c>
      <c r="E385" s="690">
        <f t="shared" si="1035"/>
        <v>0</v>
      </c>
      <c r="F385" s="690">
        <f t="shared" si="1035"/>
        <v>0</v>
      </c>
      <c r="G385" s="902">
        <f>SUM(C385:F385)</f>
        <v>0</v>
      </c>
      <c r="H385" s="690">
        <f t="shared" ref="H385:M385" si="1036">H382*H384</f>
        <v>0</v>
      </c>
      <c r="I385" s="690">
        <f t="shared" si="1036"/>
        <v>0</v>
      </c>
      <c r="J385" s="690">
        <f t="shared" si="1036"/>
        <v>0</v>
      </c>
      <c r="K385" s="690">
        <f t="shared" si="1036"/>
        <v>0</v>
      </c>
      <c r="L385" s="690">
        <f t="shared" si="1036"/>
        <v>0</v>
      </c>
      <c r="M385" s="690">
        <f t="shared" si="1036"/>
        <v>0</v>
      </c>
      <c r="N385" s="690">
        <f t="shared" ref="N385:S385" si="1037">N382*N384</f>
        <v>0</v>
      </c>
      <c r="O385" s="690">
        <f t="shared" si="1037"/>
        <v>0</v>
      </c>
      <c r="P385" s="690">
        <f t="shared" si="1037"/>
        <v>0</v>
      </c>
      <c r="Q385" s="690">
        <f t="shared" si="1037"/>
        <v>0</v>
      </c>
      <c r="R385" s="690">
        <f t="shared" si="1037"/>
        <v>0</v>
      </c>
      <c r="S385" s="690">
        <f t="shared" si="1037"/>
        <v>0</v>
      </c>
      <c r="T385" s="917">
        <f>SUM(H385:S385)</f>
        <v>0</v>
      </c>
      <c r="U385" s="690">
        <f t="shared" ref="U385:AF385" si="1038">U382*U384</f>
        <v>0</v>
      </c>
      <c r="V385" s="690">
        <f t="shared" si="1038"/>
        <v>0</v>
      </c>
      <c r="W385" s="690">
        <f t="shared" si="1038"/>
        <v>0</v>
      </c>
      <c r="X385" s="690">
        <f t="shared" si="1038"/>
        <v>0</v>
      </c>
      <c r="Y385" s="690">
        <f t="shared" si="1038"/>
        <v>0</v>
      </c>
      <c r="Z385" s="690">
        <f t="shared" si="1038"/>
        <v>0</v>
      </c>
      <c r="AA385" s="690">
        <f t="shared" si="1038"/>
        <v>0</v>
      </c>
      <c r="AB385" s="690">
        <f t="shared" si="1038"/>
        <v>0</v>
      </c>
      <c r="AC385" s="690">
        <f t="shared" si="1038"/>
        <v>0</v>
      </c>
      <c r="AD385" s="690">
        <f t="shared" si="1038"/>
        <v>0</v>
      </c>
      <c r="AE385" s="690">
        <f t="shared" si="1038"/>
        <v>0</v>
      </c>
      <c r="AF385" s="690">
        <f t="shared" si="1038"/>
        <v>0</v>
      </c>
      <c r="AG385" s="902">
        <f>SUM(U385:AF385)</f>
        <v>0</v>
      </c>
      <c r="AH385" s="902">
        <f>AH382*AVERAGE(AF384,AH384)</f>
        <v>0</v>
      </c>
      <c r="AI385" s="902">
        <f t="shared" ref="AI385:AO385" si="1039">AI382*AVERAGE(AH384,AI384)</f>
        <v>15.479099999999999</v>
      </c>
      <c r="AJ385" s="902">
        <f t="shared" si="1039"/>
        <v>63.773892000000004</v>
      </c>
      <c r="AK385" s="902">
        <f t="shared" si="1039"/>
        <v>146.36108213999998</v>
      </c>
      <c r="AL385" s="902">
        <f t="shared" si="1039"/>
        <v>295.64938592279992</v>
      </c>
      <c r="AM385" s="902">
        <f t="shared" si="1039"/>
        <v>498.22396516619995</v>
      </c>
      <c r="AN385" s="902">
        <f t="shared" si="1039"/>
        <v>656.99863538399995</v>
      </c>
      <c r="AO385" s="996">
        <f t="shared" si="1039"/>
        <v>766.49840794800002</v>
      </c>
    </row>
    <row r="386" spans="1:42" s="18" customFormat="1" ht="13.15" customHeight="1" x14ac:dyDescent="0.2">
      <c r="A386" s="680" t="s">
        <v>249</v>
      </c>
      <c r="B386" s="680"/>
      <c r="C386" s="686">
        <v>1</v>
      </c>
      <c r="D386" s="686">
        <f>C386</f>
        <v>1</v>
      </c>
      <c r="E386" s="686">
        <f t="shared" ref="E386:F386" si="1040">D386</f>
        <v>1</v>
      </c>
      <c r="F386" s="686">
        <f t="shared" si="1040"/>
        <v>1</v>
      </c>
      <c r="G386" s="903">
        <f>F386</f>
        <v>1</v>
      </c>
      <c r="H386" s="686">
        <f>F386</f>
        <v>1</v>
      </c>
      <c r="I386" s="686">
        <f>H386</f>
        <v>1</v>
      </c>
      <c r="J386" s="686">
        <f t="shared" ref="J386:S386" si="1041">I386</f>
        <v>1</v>
      </c>
      <c r="K386" s="686">
        <f t="shared" si="1041"/>
        <v>1</v>
      </c>
      <c r="L386" s="686">
        <f t="shared" si="1041"/>
        <v>1</v>
      </c>
      <c r="M386" s="686">
        <f t="shared" si="1041"/>
        <v>1</v>
      </c>
      <c r="N386" s="686">
        <f t="shared" si="1041"/>
        <v>1</v>
      </c>
      <c r="O386" s="686">
        <f t="shared" si="1041"/>
        <v>1</v>
      </c>
      <c r="P386" s="686">
        <f t="shared" si="1041"/>
        <v>1</v>
      </c>
      <c r="Q386" s="686">
        <f t="shared" si="1041"/>
        <v>1</v>
      </c>
      <c r="R386" s="686">
        <f t="shared" si="1041"/>
        <v>1</v>
      </c>
      <c r="S386" s="686">
        <f t="shared" si="1041"/>
        <v>1</v>
      </c>
      <c r="T386" s="903">
        <f t="shared" ref="T386" si="1042">S386</f>
        <v>1</v>
      </c>
      <c r="U386" s="686">
        <f>S386</f>
        <v>1</v>
      </c>
      <c r="V386" s="686">
        <f t="shared" ref="V386:AG386" si="1043">U386</f>
        <v>1</v>
      </c>
      <c r="W386" s="686">
        <f t="shared" si="1043"/>
        <v>1</v>
      </c>
      <c r="X386" s="686">
        <f t="shared" si="1043"/>
        <v>1</v>
      </c>
      <c r="Y386" s="686">
        <f t="shared" si="1043"/>
        <v>1</v>
      </c>
      <c r="Z386" s="686">
        <f t="shared" si="1043"/>
        <v>1</v>
      </c>
      <c r="AA386" s="686">
        <f t="shared" si="1043"/>
        <v>1</v>
      </c>
      <c r="AB386" s="686">
        <f t="shared" si="1043"/>
        <v>1</v>
      </c>
      <c r="AC386" s="686">
        <f t="shared" si="1043"/>
        <v>1</v>
      </c>
      <c r="AD386" s="686">
        <f t="shared" si="1043"/>
        <v>1</v>
      </c>
      <c r="AE386" s="686">
        <f t="shared" si="1043"/>
        <v>1</v>
      </c>
      <c r="AF386" s="686">
        <f t="shared" si="1043"/>
        <v>1</v>
      </c>
      <c r="AG386" s="919">
        <f t="shared" si="1043"/>
        <v>1</v>
      </c>
      <c r="AH386" s="919">
        <f>AF386</f>
        <v>1</v>
      </c>
      <c r="AI386" s="919">
        <f t="shared" ref="AI386:AO386" si="1044">AH386</f>
        <v>1</v>
      </c>
      <c r="AJ386" s="919">
        <f t="shared" si="1044"/>
        <v>1</v>
      </c>
      <c r="AK386" s="919">
        <f t="shared" si="1044"/>
        <v>1</v>
      </c>
      <c r="AL386" s="919">
        <f t="shared" si="1044"/>
        <v>1</v>
      </c>
      <c r="AM386" s="919">
        <f t="shared" si="1044"/>
        <v>1</v>
      </c>
      <c r="AN386" s="919">
        <f t="shared" si="1044"/>
        <v>1</v>
      </c>
      <c r="AO386" s="998">
        <f t="shared" si="1044"/>
        <v>1</v>
      </c>
    </row>
    <row r="387" spans="1:42" s="18" customFormat="1" ht="13.15" customHeight="1" x14ac:dyDescent="0.2">
      <c r="A387" s="680" t="s">
        <v>255</v>
      </c>
      <c r="B387" s="680"/>
      <c r="C387" s="690">
        <f t="shared" ref="C387:F387" si="1045">C385*C386</f>
        <v>0</v>
      </c>
      <c r="D387" s="690">
        <f t="shared" si="1045"/>
        <v>0</v>
      </c>
      <c r="E387" s="690">
        <f t="shared" si="1045"/>
        <v>0</v>
      </c>
      <c r="F387" s="690">
        <f t="shared" si="1045"/>
        <v>0</v>
      </c>
      <c r="G387" s="902">
        <f>SUM(C387:F387)</f>
        <v>0</v>
      </c>
      <c r="H387" s="690">
        <f t="shared" ref="H387:M387" si="1046">H385*H386</f>
        <v>0</v>
      </c>
      <c r="I387" s="690">
        <f t="shared" si="1046"/>
        <v>0</v>
      </c>
      <c r="J387" s="690">
        <f t="shared" si="1046"/>
        <v>0</v>
      </c>
      <c r="K387" s="690">
        <f t="shared" si="1046"/>
        <v>0</v>
      </c>
      <c r="L387" s="690">
        <f t="shared" si="1046"/>
        <v>0</v>
      </c>
      <c r="M387" s="690">
        <f t="shared" si="1046"/>
        <v>0</v>
      </c>
      <c r="N387" s="690">
        <f t="shared" ref="N387:S387" si="1047">N385*N386</f>
        <v>0</v>
      </c>
      <c r="O387" s="690">
        <f t="shared" si="1047"/>
        <v>0</v>
      </c>
      <c r="P387" s="690">
        <f t="shared" si="1047"/>
        <v>0</v>
      </c>
      <c r="Q387" s="690">
        <f t="shared" si="1047"/>
        <v>0</v>
      </c>
      <c r="R387" s="690">
        <f t="shared" si="1047"/>
        <v>0</v>
      </c>
      <c r="S387" s="690">
        <f t="shared" si="1047"/>
        <v>0</v>
      </c>
      <c r="T387" s="918">
        <f>SUM(H387:S387)</f>
        <v>0</v>
      </c>
      <c r="U387" s="690">
        <f t="shared" ref="U387:AF387" si="1048">U385*U386</f>
        <v>0</v>
      </c>
      <c r="V387" s="690">
        <f t="shared" si="1048"/>
        <v>0</v>
      </c>
      <c r="W387" s="690">
        <f t="shared" si="1048"/>
        <v>0</v>
      </c>
      <c r="X387" s="690">
        <f t="shared" si="1048"/>
        <v>0</v>
      </c>
      <c r="Y387" s="690">
        <f t="shared" si="1048"/>
        <v>0</v>
      </c>
      <c r="Z387" s="690">
        <f t="shared" si="1048"/>
        <v>0</v>
      </c>
      <c r="AA387" s="690">
        <f t="shared" si="1048"/>
        <v>0</v>
      </c>
      <c r="AB387" s="690">
        <f t="shared" si="1048"/>
        <v>0</v>
      </c>
      <c r="AC387" s="690">
        <f t="shared" si="1048"/>
        <v>0</v>
      </c>
      <c r="AD387" s="690">
        <f t="shared" si="1048"/>
        <v>0</v>
      </c>
      <c r="AE387" s="690">
        <f t="shared" si="1048"/>
        <v>0</v>
      </c>
      <c r="AF387" s="690">
        <f t="shared" si="1048"/>
        <v>0</v>
      </c>
      <c r="AG387" s="918">
        <f>SUM(U387:AF387)</f>
        <v>0</v>
      </c>
      <c r="AH387" s="902">
        <f t="shared" ref="AH387:AO387" si="1049">AH385*AH386</f>
        <v>0</v>
      </c>
      <c r="AI387" s="902">
        <f t="shared" si="1049"/>
        <v>15.479099999999999</v>
      </c>
      <c r="AJ387" s="902">
        <f t="shared" si="1049"/>
        <v>63.773892000000004</v>
      </c>
      <c r="AK387" s="902">
        <f t="shared" si="1049"/>
        <v>146.36108213999998</v>
      </c>
      <c r="AL387" s="902">
        <f t="shared" si="1049"/>
        <v>295.64938592279992</v>
      </c>
      <c r="AM387" s="902">
        <f t="shared" si="1049"/>
        <v>498.22396516619995</v>
      </c>
      <c r="AN387" s="902">
        <f t="shared" si="1049"/>
        <v>656.99863538399995</v>
      </c>
      <c r="AO387" s="996">
        <f t="shared" si="1049"/>
        <v>766.49840794800002</v>
      </c>
    </row>
    <row r="388" spans="1:42" s="34" customFormat="1" ht="12.4" customHeight="1" x14ac:dyDescent="0.2">
      <c r="A388" s="1"/>
      <c r="B388" s="1"/>
      <c r="C388" s="1"/>
      <c r="D388" s="1"/>
      <c r="E388" s="1"/>
      <c r="F388" s="1"/>
      <c r="G388" s="26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6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268"/>
      <c r="AH388" s="268"/>
      <c r="AI388" s="268"/>
      <c r="AJ388" s="268"/>
      <c r="AK388" s="268"/>
      <c r="AL388" s="268"/>
      <c r="AM388" s="268"/>
      <c r="AN388" s="268"/>
      <c r="AO388" s="999"/>
      <c r="AP388" s="18"/>
    </row>
    <row r="389" spans="1:42" s="18" customFormat="1" ht="13.15" customHeight="1" x14ac:dyDescent="0.2">
      <c r="A389" s="680" t="s">
        <v>253</v>
      </c>
      <c r="B389" s="680"/>
      <c r="C389" s="689">
        <v>0</v>
      </c>
      <c r="D389" s="689">
        <v>0</v>
      </c>
      <c r="E389" s="689">
        <v>0</v>
      </c>
      <c r="F389" s="689">
        <v>0</v>
      </c>
      <c r="G389" s="902">
        <f>F389</f>
        <v>0</v>
      </c>
      <c r="H389" s="689">
        <v>0</v>
      </c>
      <c r="I389" s="689">
        <v>0</v>
      </c>
      <c r="J389" s="689">
        <v>0</v>
      </c>
      <c r="K389" s="689">
        <v>0</v>
      </c>
      <c r="L389" s="689">
        <v>0</v>
      </c>
      <c r="M389" s="689">
        <v>0</v>
      </c>
      <c r="N389" s="689">
        <v>0</v>
      </c>
      <c r="O389" s="689">
        <v>0</v>
      </c>
      <c r="P389" s="689">
        <v>0</v>
      </c>
      <c r="Q389" s="689">
        <v>0</v>
      </c>
      <c r="R389" s="689">
        <v>0</v>
      </c>
      <c r="S389" s="689">
        <v>0</v>
      </c>
      <c r="T389" s="902">
        <f>S389</f>
        <v>0</v>
      </c>
      <c r="U389" s="689">
        <f>S389</f>
        <v>0</v>
      </c>
      <c r="V389" s="689">
        <f t="shared" ref="V389:AG389" si="1050">U389</f>
        <v>0</v>
      </c>
      <c r="W389" s="689">
        <f t="shared" si="1050"/>
        <v>0</v>
      </c>
      <c r="X389" s="689">
        <f t="shared" si="1050"/>
        <v>0</v>
      </c>
      <c r="Y389" s="689">
        <f t="shared" si="1050"/>
        <v>0</v>
      </c>
      <c r="Z389" s="689">
        <f t="shared" si="1050"/>
        <v>0</v>
      </c>
      <c r="AA389" s="689">
        <f t="shared" si="1050"/>
        <v>0</v>
      </c>
      <c r="AB389" s="689">
        <f t="shared" si="1050"/>
        <v>0</v>
      </c>
      <c r="AC389" s="689">
        <f t="shared" si="1050"/>
        <v>0</v>
      </c>
      <c r="AD389" s="689">
        <f t="shared" si="1050"/>
        <v>0</v>
      </c>
      <c r="AE389" s="689">
        <f t="shared" si="1050"/>
        <v>0</v>
      </c>
      <c r="AF389" s="689">
        <f t="shared" si="1050"/>
        <v>0</v>
      </c>
      <c r="AG389" s="902">
        <f t="shared" si="1050"/>
        <v>0</v>
      </c>
      <c r="AH389" s="899">
        <f>AF389</f>
        <v>0</v>
      </c>
      <c r="AI389" s="899">
        <f t="shared" ref="AI389:AO389" si="1051">AH389</f>
        <v>0</v>
      </c>
      <c r="AJ389" s="899">
        <f t="shared" si="1051"/>
        <v>0</v>
      </c>
      <c r="AK389" s="899">
        <f t="shared" si="1051"/>
        <v>0</v>
      </c>
      <c r="AL389" s="899">
        <f t="shared" si="1051"/>
        <v>0</v>
      </c>
      <c r="AM389" s="899">
        <f t="shared" si="1051"/>
        <v>0</v>
      </c>
      <c r="AN389" s="899">
        <f t="shared" si="1051"/>
        <v>0</v>
      </c>
      <c r="AO389" s="1000">
        <f t="shared" si="1051"/>
        <v>0</v>
      </c>
    </row>
    <row r="390" spans="1:42" s="18" customFormat="1" ht="13.15" customHeight="1" x14ac:dyDescent="0.2">
      <c r="A390" s="680" t="s">
        <v>252</v>
      </c>
      <c r="B390" s="680"/>
      <c r="C390" s="689">
        <v>0</v>
      </c>
      <c r="D390" s="689">
        <v>0</v>
      </c>
      <c r="E390" s="689">
        <v>0</v>
      </c>
      <c r="F390" s="689">
        <v>0</v>
      </c>
      <c r="G390" s="902">
        <f>SUM(C390:F390)</f>
        <v>0</v>
      </c>
      <c r="H390" s="689">
        <v>0</v>
      </c>
      <c r="I390" s="689">
        <v>0</v>
      </c>
      <c r="J390" s="689">
        <v>0</v>
      </c>
      <c r="K390" s="689">
        <v>0</v>
      </c>
      <c r="L390" s="689">
        <v>0</v>
      </c>
      <c r="M390" s="689">
        <v>0</v>
      </c>
      <c r="N390" s="689">
        <f t="shared" ref="N390:S390" si="1052">100/12</f>
        <v>8.3333333333333339</v>
      </c>
      <c r="O390" s="689">
        <f t="shared" si="1052"/>
        <v>8.3333333333333339</v>
      </c>
      <c r="P390" s="689">
        <f t="shared" si="1052"/>
        <v>8.3333333333333339</v>
      </c>
      <c r="Q390" s="689">
        <f t="shared" si="1052"/>
        <v>8.3333333333333339</v>
      </c>
      <c r="R390" s="689">
        <f t="shared" si="1052"/>
        <v>8.3333333333333339</v>
      </c>
      <c r="S390" s="689">
        <f t="shared" si="1052"/>
        <v>8.3333333333333339</v>
      </c>
      <c r="T390" s="917">
        <f>SUM(H390:S390)</f>
        <v>50.000000000000007</v>
      </c>
      <c r="U390" s="689">
        <f t="shared" ref="U390:AF390" si="1053">100/12</f>
        <v>8.3333333333333339</v>
      </c>
      <c r="V390" s="689">
        <f t="shared" si="1053"/>
        <v>8.3333333333333339</v>
      </c>
      <c r="W390" s="689">
        <f t="shared" si="1053"/>
        <v>8.3333333333333339</v>
      </c>
      <c r="X390" s="689">
        <f t="shared" si="1053"/>
        <v>8.3333333333333339</v>
      </c>
      <c r="Y390" s="689">
        <f t="shared" si="1053"/>
        <v>8.3333333333333339</v>
      </c>
      <c r="Z390" s="689">
        <f t="shared" si="1053"/>
        <v>8.3333333333333339</v>
      </c>
      <c r="AA390" s="689">
        <f t="shared" si="1053"/>
        <v>8.3333333333333339</v>
      </c>
      <c r="AB390" s="689">
        <f t="shared" si="1053"/>
        <v>8.3333333333333339</v>
      </c>
      <c r="AC390" s="689">
        <f t="shared" si="1053"/>
        <v>8.3333333333333339</v>
      </c>
      <c r="AD390" s="689">
        <f t="shared" si="1053"/>
        <v>8.3333333333333339</v>
      </c>
      <c r="AE390" s="689">
        <f t="shared" si="1053"/>
        <v>8.3333333333333339</v>
      </c>
      <c r="AF390" s="689">
        <f t="shared" si="1053"/>
        <v>8.3333333333333339</v>
      </c>
      <c r="AG390" s="917">
        <f>SUM(U390:AF390)</f>
        <v>99.999999999999986</v>
      </c>
      <c r="AH390" s="899">
        <v>100</v>
      </c>
      <c r="AI390" s="899">
        <v>100</v>
      </c>
      <c r="AJ390" s="899">
        <v>100</v>
      </c>
      <c r="AK390" s="899">
        <v>100</v>
      </c>
      <c r="AL390" s="899">
        <v>100</v>
      </c>
      <c r="AM390" s="899">
        <v>100</v>
      </c>
      <c r="AN390" s="899">
        <v>100</v>
      </c>
      <c r="AO390" s="1000">
        <v>100</v>
      </c>
    </row>
    <row r="391" spans="1:42" s="18" customFormat="1" ht="13.15" customHeight="1" x14ac:dyDescent="0.2">
      <c r="A391" s="680" t="s">
        <v>254</v>
      </c>
      <c r="B391" s="680"/>
      <c r="C391" s="690">
        <f t="shared" ref="C391:F391" si="1054">C389*C390</f>
        <v>0</v>
      </c>
      <c r="D391" s="690">
        <f t="shared" si="1054"/>
        <v>0</v>
      </c>
      <c r="E391" s="690">
        <f t="shared" si="1054"/>
        <v>0</v>
      </c>
      <c r="F391" s="690">
        <f t="shared" si="1054"/>
        <v>0</v>
      </c>
      <c r="G391" s="902">
        <f>SUM(C391:F391)</f>
        <v>0</v>
      </c>
      <c r="H391" s="690">
        <f t="shared" ref="H391:M391" si="1055">H389*H390</f>
        <v>0</v>
      </c>
      <c r="I391" s="690">
        <f t="shared" si="1055"/>
        <v>0</v>
      </c>
      <c r="J391" s="690">
        <f t="shared" si="1055"/>
        <v>0</v>
      </c>
      <c r="K391" s="690">
        <f t="shared" si="1055"/>
        <v>0</v>
      </c>
      <c r="L391" s="690">
        <f t="shared" si="1055"/>
        <v>0</v>
      </c>
      <c r="M391" s="690">
        <f t="shared" si="1055"/>
        <v>0</v>
      </c>
      <c r="N391" s="690">
        <f t="shared" ref="N391:S391" si="1056">N389*N390</f>
        <v>0</v>
      </c>
      <c r="O391" s="690">
        <f t="shared" si="1056"/>
        <v>0</v>
      </c>
      <c r="P391" s="690">
        <f t="shared" si="1056"/>
        <v>0</v>
      </c>
      <c r="Q391" s="690">
        <f t="shared" si="1056"/>
        <v>0</v>
      </c>
      <c r="R391" s="690">
        <f t="shared" si="1056"/>
        <v>0</v>
      </c>
      <c r="S391" s="690">
        <f t="shared" si="1056"/>
        <v>0</v>
      </c>
      <c r="T391" s="917">
        <f>SUM(H391:S391)</f>
        <v>0</v>
      </c>
      <c r="U391" s="690">
        <f t="shared" ref="U391:AF391" si="1057">U389*U390</f>
        <v>0</v>
      </c>
      <c r="V391" s="690">
        <f t="shared" si="1057"/>
        <v>0</v>
      </c>
      <c r="W391" s="690">
        <f t="shared" si="1057"/>
        <v>0</v>
      </c>
      <c r="X391" s="690">
        <f t="shared" si="1057"/>
        <v>0</v>
      </c>
      <c r="Y391" s="690">
        <f t="shared" si="1057"/>
        <v>0</v>
      </c>
      <c r="Z391" s="690">
        <f t="shared" si="1057"/>
        <v>0</v>
      </c>
      <c r="AA391" s="690">
        <f t="shared" si="1057"/>
        <v>0</v>
      </c>
      <c r="AB391" s="690">
        <f t="shared" si="1057"/>
        <v>0</v>
      </c>
      <c r="AC391" s="690">
        <f t="shared" si="1057"/>
        <v>0</v>
      </c>
      <c r="AD391" s="690">
        <f t="shared" si="1057"/>
        <v>0</v>
      </c>
      <c r="AE391" s="690">
        <f t="shared" si="1057"/>
        <v>0</v>
      </c>
      <c r="AF391" s="690">
        <f t="shared" si="1057"/>
        <v>0</v>
      </c>
      <c r="AG391" s="902">
        <f>SUM(U391:AF391)</f>
        <v>0</v>
      </c>
      <c r="AH391" s="902">
        <f t="shared" ref="AH391:AO391" si="1058">AH389*AH390</f>
        <v>0</v>
      </c>
      <c r="AI391" s="902">
        <f t="shared" si="1058"/>
        <v>0</v>
      </c>
      <c r="AJ391" s="902">
        <f t="shared" si="1058"/>
        <v>0</v>
      </c>
      <c r="AK391" s="902">
        <f t="shared" si="1058"/>
        <v>0</v>
      </c>
      <c r="AL391" s="902">
        <f t="shared" si="1058"/>
        <v>0</v>
      </c>
      <c r="AM391" s="902">
        <f t="shared" si="1058"/>
        <v>0</v>
      </c>
      <c r="AN391" s="902">
        <f t="shared" si="1058"/>
        <v>0</v>
      </c>
      <c r="AO391" s="996">
        <f t="shared" si="1058"/>
        <v>0</v>
      </c>
    </row>
    <row r="392" spans="1:42" s="18" customFormat="1" ht="13.15" customHeight="1" x14ac:dyDescent="0.2">
      <c r="A392" s="680" t="s">
        <v>249</v>
      </c>
      <c r="B392" s="680"/>
      <c r="C392" s="686">
        <f t="shared" ref="C392:F392" si="1059">C386</f>
        <v>1</v>
      </c>
      <c r="D392" s="686">
        <f t="shared" si="1059"/>
        <v>1</v>
      </c>
      <c r="E392" s="686">
        <f t="shared" si="1059"/>
        <v>1</v>
      </c>
      <c r="F392" s="686">
        <f t="shared" si="1059"/>
        <v>1</v>
      </c>
      <c r="G392" s="903">
        <f>F392</f>
        <v>1</v>
      </c>
      <c r="H392" s="686">
        <f t="shared" ref="H392:M392" si="1060">H386</f>
        <v>1</v>
      </c>
      <c r="I392" s="686">
        <f t="shared" si="1060"/>
        <v>1</v>
      </c>
      <c r="J392" s="686">
        <f t="shared" si="1060"/>
        <v>1</v>
      </c>
      <c r="K392" s="686">
        <f t="shared" si="1060"/>
        <v>1</v>
      </c>
      <c r="L392" s="686">
        <f t="shared" si="1060"/>
        <v>1</v>
      </c>
      <c r="M392" s="686">
        <f t="shared" si="1060"/>
        <v>1</v>
      </c>
      <c r="N392" s="686">
        <f t="shared" ref="N392:AO392" si="1061">N386</f>
        <v>1</v>
      </c>
      <c r="O392" s="686">
        <f t="shared" si="1061"/>
        <v>1</v>
      </c>
      <c r="P392" s="686">
        <f t="shared" si="1061"/>
        <v>1</v>
      </c>
      <c r="Q392" s="686">
        <f t="shared" si="1061"/>
        <v>1</v>
      </c>
      <c r="R392" s="686">
        <f t="shared" si="1061"/>
        <v>1</v>
      </c>
      <c r="S392" s="686">
        <f t="shared" si="1061"/>
        <v>1</v>
      </c>
      <c r="T392" s="919">
        <f t="shared" si="1061"/>
        <v>1</v>
      </c>
      <c r="U392" s="686">
        <f t="shared" si="1061"/>
        <v>1</v>
      </c>
      <c r="V392" s="686">
        <f t="shared" si="1061"/>
        <v>1</v>
      </c>
      <c r="W392" s="686">
        <f t="shared" si="1061"/>
        <v>1</v>
      </c>
      <c r="X392" s="686">
        <f t="shared" si="1061"/>
        <v>1</v>
      </c>
      <c r="Y392" s="686">
        <f t="shared" si="1061"/>
        <v>1</v>
      </c>
      <c r="Z392" s="686">
        <f t="shared" si="1061"/>
        <v>1</v>
      </c>
      <c r="AA392" s="686">
        <f t="shared" si="1061"/>
        <v>1</v>
      </c>
      <c r="AB392" s="686">
        <f t="shared" si="1061"/>
        <v>1</v>
      </c>
      <c r="AC392" s="686">
        <f t="shared" si="1061"/>
        <v>1</v>
      </c>
      <c r="AD392" s="686">
        <f t="shared" si="1061"/>
        <v>1</v>
      </c>
      <c r="AE392" s="686">
        <f t="shared" si="1061"/>
        <v>1</v>
      </c>
      <c r="AF392" s="686">
        <f t="shared" si="1061"/>
        <v>1</v>
      </c>
      <c r="AG392" s="919">
        <f t="shared" si="1061"/>
        <v>1</v>
      </c>
      <c r="AH392" s="919">
        <f t="shared" si="1061"/>
        <v>1</v>
      </c>
      <c r="AI392" s="919">
        <f t="shared" si="1061"/>
        <v>1</v>
      </c>
      <c r="AJ392" s="919">
        <f t="shared" si="1061"/>
        <v>1</v>
      </c>
      <c r="AK392" s="919">
        <f t="shared" si="1061"/>
        <v>1</v>
      </c>
      <c r="AL392" s="919">
        <f t="shared" si="1061"/>
        <v>1</v>
      </c>
      <c r="AM392" s="919">
        <f t="shared" si="1061"/>
        <v>1</v>
      </c>
      <c r="AN392" s="919">
        <f t="shared" si="1061"/>
        <v>1</v>
      </c>
      <c r="AO392" s="998">
        <f t="shared" si="1061"/>
        <v>1</v>
      </c>
    </row>
    <row r="393" spans="1:42" s="18" customFormat="1" ht="13.15" customHeight="1" x14ac:dyDescent="0.2">
      <c r="A393" s="680" t="s">
        <v>255</v>
      </c>
      <c r="B393" s="680"/>
      <c r="C393" s="690">
        <f t="shared" ref="C393:F393" si="1062">C391*C392</f>
        <v>0</v>
      </c>
      <c r="D393" s="690">
        <f t="shared" si="1062"/>
        <v>0</v>
      </c>
      <c r="E393" s="690">
        <f t="shared" si="1062"/>
        <v>0</v>
      </c>
      <c r="F393" s="690">
        <f t="shared" si="1062"/>
        <v>0</v>
      </c>
      <c r="G393" s="902">
        <f>SUM(C393:F393)</f>
        <v>0</v>
      </c>
      <c r="H393" s="690">
        <f t="shared" ref="H393:M393" si="1063">H391*H392</f>
        <v>0</v>
      </c>
      <c r="I393" s="690">
        <f t="shared" si="1063"/>
        <v>0</v>
      </c>
      <c r="J393" s="690">
        <f t="shared" si="1063"/>
        <v>0</v>
      </c>
      <c r="K393" s="690">
        <f t="shared" si="1063"/>
        <v>0</v>
      </c>
      <c r="L393" s="690">
        <f t="shared" si="1063"/>
        <v>0</v>
      </c>
      <c r="M393" s="690">
        <f t="shared" si="1063"/>
        <v>0</v>
      </c>
      <c r="N393" s="690">
        <f t="shared" ref="N393:S393" si="1064">N391*N392</f>
        <v>0</v>
      </c>
      <c r="O393" s="690">
        <f t="shared" si="1064"/>
        <v>0</v>
      </c>
      <c r="P393" s="690">
        <f t="shared" si="1064"/>
        <v>0</v>
      </c>
      <c r="Q393" s="690">
        <f t="shared" si="1064"/>
        <v>0</v>
      </c>
      <c r="R393" s="690">
        <f t="shared" si="1064"/>
        <v>0</v>
      </c>
      <c r="S393" s="690">
        <f t="shared" si="1064"/>
        <v>0</v>
      </c>
      <c r="T393" s="918">
        <f>SUM(H393:S393)</f>
        <v>0</v>
      </c>
      <c r="U393" s="690">
        <f t="shared" ref="U393:AF393" si="1065">U391*U392</f>
        <v>0</v>
      </c>
      <c r="V393" s="690">
        <f t="shared" si="1065"/>
        <v>0</v>
      </c>
      <c r="W393" s="690">
        <f t="shared" si="1065"/>
        <v>0</v>
      </c>
      <c r="X393" s="690">
        <f t="shared" si="1065"/>
        <v>0</v>
      </c>
      <c r="Y393" s="690">
        <f t="shared" si="1065"/>
        <v>0</v>
      </c>
      <c r="Z393" s="690">
        <f t="shared" si="1065"/>
        <v>0</v>
      </c>
      <c r="AA393" s="690">
        <f t="shared" si="1065"/>
        <v>0</v>
      </c>
      <c r="AB393" s="690">
        <f t="shared" si="1065"/>
        <v>0</v>
      </c>
      <c r="AC393" s="690">
        <f t="shared" si="1065"/>
        <v>0</v>
      </c>
      <c r="AD393" s="690">
        <f t="shared" si="1065"/>
        <v>0</v>
      </c>
      <c r="AE393" s="690">
        <f t="shared" si="1065"/>
        <v>0</v>
      </c>
      <c r="AF393" s="690">
        <f t="shared" si="1065"/>
        <v>0</v>
      </c>
      <c r="AG393" s="918">
        <f>SUM(U393:AF393)</f>
        <v>0</v>
      </c>
      <c r="AH393" s="902">
        <f t="shared" ref="AH393:AO393" si="1066">AH391*AH392</f>
        <v>0</v>
      </c>
      <c r="AI393" s="902">
        <f t="shared" si="1066"/>
        <v>0</v>
      </c>
      <c r="AJ393" s="902">
        <f t="shared" si="1066"/>
        <v>0</v>
      </c>
      <c r="AK393" s="902">
        <f t="shared" si="1066"/>
        <v>0</v>
      </c>
      <c r="AL393" s="902">
        <f t="shared" si="1066"/>
        <v>0</v>
      </c>
      <c r="AM393" s="902">
        <f t="shared" si="1066"/>
        <v>0</v>
      </c>
      <c r="AN393" s="902">
        <f t="shared" si="1066"/>
        <v>0</v>
      </c>
      <c r="AO393" s="996">
        <f t="shared" si="1066"/>
        <v>0</v>
      </c>
    </row>
    <row r="394" spans="1:42" s="18" customFormat="1" ht="13.15" customHeight="1" x14ac:dyDescent="0.2">
      <c r="A394" s="674"/>
      <c r="B394" s="674"/>
      <c r="C394" s="682"/>
      <c r="D394" s="682"/>
      <c r="E394" s="682"/>
      <c r="F394" s="682"/>
      <c r="G394" s="900"/>
      <c r="H394" s="682"/>
      <c r="I394" s="682"/>
      <c r="J394" s="682"/>
      <c r="K394" s="682"/>
      <c r="L394" s="682"/>
      <c r="M394" s="682"/>
      <c r="N394" s="682"/>
      <c r="O394" s="682"/>
      <c r="P394" s="682"/>
      <c r="Q394" s="682"/>
      <c r="R394" s="682"/>
      <c r="S394" s="682"/>
      <c r="T394" s="917"/>
      <c r="U394" s="682"/>
      <c r="V394" s="682"/>
      <c r="W394" s="682"/>
      <c r="X394" s="682"/>
      <c r="Y394" s="682"/>
      <c r="Z394" s="682"/>
      <c r="AA394" s="682"/>
      <c r="AB394" s="682"/>
      <c r="AC394" s="682"/>
      <c r="AD394" s="682"/>
      <c r="AE394" s="682"/>
      <c r="AF394" s="682"/>
      <c r="AG394" s="917"/>
      <c r="AH394" s="917"/>
      <c r="AI394" s="917"/>
      <c r="AJ394" s="917"/>
      <c r="AK394" s="924"/>
      <c r="AL394" s="924"/>
      <c r="AM394" s="924"/>
      <c r="AN394" s="924"/>
      <c r="AO394" s="995"/>
    </row>
    <row r="395" spans="1:42" s="18" customFormat="1" ht="13.15" customHeight="1" x14ac:dyDescent="0.2">
      <c r="A395" s="680" t="s">
        <v>256</v>
      </c>
      <c r="B395" s="680"/>
      <c r="C395" s="689">
        <v>0</v>
      </c>
      <c r="D395" s="689">
        <v>0</v>
      </c>
      <c r="E395" s="689">
        <v>0</v>
      </c>
      <c r="F395" s="689">
        <v>0</v>
      </c>
      <c r="G395" s="902">
        <f>F395</f>
        <v>0</v>
      </c>
      <c r="H395" s="689">
        <v>0</v>
      </c>
      <c r="I395" s="689">
        <v>0</v>
      </c>
      <c r="J395" s="689">
        <v>0</v>
      </c>
      <c r="K395" s="689">
        <v>0</v>
      </c>
      <c r="L395" s="689">
        <v>0</v>
      </c>
      <c r="M395" s="689">
        <v>0</v>
      </c>
      <c r="N395" s="689">
        <v>0</v>
      </c>
      <c r="O395" s="689">
        <v>0</v>
      </c>
      <c r="P395" s="689">
        <v>0</v>
      </c>
      <c r="Q395" s="689">
        <v>0</v>
      </c>
      <c r="R395" s="689">
        <v>0</v>
      </c>
      <c r="S395" s="689">
        <v>0</v>
      </c>
      <c r="T395" s="902">
        <f>S395</f>
        <v>0</v>
      </c>
      <c r="U395" s="689">
        <f>S395</f>
        <v>0</v>
      </c>
      <c r="V395" s="689">
        <f t="shared" ref="V395:AG395" si="1067">U395</f>
        <v>0</v>
      </c>
      <c r="W395" s="689">
        <f t="shared" si="1067"/>
        <v>0</v>
      </c>
      <c r="X395" s="689">
        <f t="shared" si="1067"/>
        <v>0</v>
      </c>
      <c r="Y395" s="689">
        <f t="shared" si="1067"/>
        <v>0</v>
      </c>
      <c r="Z395" s="689">
        <f t="shared" si="1067"/>
        <v>0</v>
      </c>
      <c r="AA395" s="689">
        <f t="shared" si="1067"/>
        <v>0</v>
      </c>
      <c r="AB395" s="689">
        <f t="shared" si="1067"/>
        <v>0</v>
      </c>
      <c r="AC395" s="689">
        <f t="shared" si="1067"/>
        <v>0</v>
      </c>
      <c r="AD395" s="689">
        <f t="shared" si="1067"/>
        <v>0</v>
      </c>
      <c r="AE395" s="689">
        <f t="shared" si="1067"/>
        <v>0</v>
      </c>
      <c r="AF395" s="689">
        <f t="shared" si="1067"/>
        <v>0</v>
      </c>
      <c r="AG395" s="902">
        <f t="shared" si="1067"/>
        <v>0</v>
      </c>
      <c r="AH395" s="899">
        <f>AF395</f>
        <v>0</v>
      </c>
      <c r="AI395" s="899">
        <f t="shared" ref="AI395:AO395" si="1068">AH395</f>
        <v>0</v>
      </c>
      <c r="AJ395" s="899">
        <f t="shared" si="1068"/>
        <v>0</v>
      </c>
      <c r="AK395" s="899">
        <f t="shared" si="1068"/>
        <v>0</v>
      </c>
      <c r="AL395" s="899">
        <f t="shared" si="1068"/>
        <v>0</v>
      </c>
      <c r="AM395" s="899">
        <f t="shared" si="1068"/>
        <v>0</v>
      </c>
      <c r="AN395" s="899">
        <f t="shared" si="1068"/>
        <v>0</v>
      </c>
      <c r="AO395" s="1000">
        <f t="shared" si="1068"/>
        <v>0</v>
      </c>
    </row>
    <row r="396" spans="1:42" s="18" customFormat="1" ht="13.15" customHeight="1" x14ac:dyDescent="0.2">
      <c r="A396" s="680" t="s">
        <v>252</v>
      </c>
      <c r="B396" s="680"/>
      <c r="C396" s="689">
        <v>0</v>
      </c>
      <c r="D396" s="689">
        <v>0</v>
      </c>
      <c r="E396" s="689">
        <v>0</v>
      </c>
      <c r="F396" s="689">
        <v>0</v>
      </c>
      <c r="G396" s="902">
        <f>SUM(C396:F396)</f>
        <v>0</v>
      </c>
      <c r="H396" s="689">
        <v>0</v>
      </c>
      <c r="I396" s="689">
        <v>0</v>
      </c>
      <c r="J396" s="689">
        <v>0</v>
      </c>
      <c r="K396" s="689">
        <v>0</v>
      </c>
      <c r="L396" s="689">
        <v>0</v>
      </c>
      <c r="M396" s="689">
        <v>0</v>
      </c>
      <c r="N396" s="689">
        <f t="shared" ref="N396:S396" si="1069">300/12</f>
        <v>25</v>
      </c>
      <c r="O396" s="689">
        <f t="shared" si="1069"/>
        <v>25</v>
      </c>
      <c r="P396" s="689">
        <f t="shared" si="1069"/>
        <v>25</v>
      </c>
      <c r="Q396" s="689">
        <f t="shared" si="1069"/>
        <v>25</v>
      </c>
      <c r="R396" s="689">
        <f t="shared" si="1069"/>
        <v>25</v>
      </c>
      <c r="S396" s="689">
        <f t="shared" si="1069"/>
        <v>25</v>
      </c>
      <c r="T396" s="917">
        <f>SUM(H396:S396)</f>
        <v>150</v>
      </c>
      <c r="U396" s="689">
        <f>300/12</f>
        <v>25</v>
      </c>
      <c r="V396" s="689">
        <f t="shared" ref="V396:AF396" si="1070">300/12</f>
        <v>25</v>
      </c>
      <c r="W396" s="689">
        <f t="shared" si="1070"/>
        <v>25</v>
      </c>
      <c r="X396" s="689">
        <f t="shared" si="1070"/>
        <v>25</v>
      </c>
      <c r="Y396" s="689">
        <f t="shared" si="1070"/>
        <v>25</v>
      </c>
      <c r="Z396" s="689">
        <f t="shared" si="1070"/>
        <v>25</v>
      </c>
      <c r="AA396" s="689">
        <f t="shared" si="1070"/>
        <v>25</v>
      </c>
      <c r="AB396" s="689">
        <f t="shared" si="1070"/>
        <v>25</v>
      </c>
      <c r="AC396" s="689">
        <f t="shared" si="1070"/>
        <v>25</v>
      </c>
      <c r="AD396" s="689">
        <f t="shared" si="1070"/>
        <v>25</v>
      </c>
      <c r="AE396" s="689">
        <f t="shared" si="1070"/>
        <v>25</v>
      </c>
      <c r="AF396" s="689">
        <f t="shared" si="1070"/>
        <v>25</v>
      </c>
      <c r="AG396" s="917">
        <f>SUM(U396:AF396)</f>
        <v>300</v>
      </c>
      <c r="AH396" s="899">
        <v>300</v>
      </c>
      <c r="AI396" s="899">
        <v>300</v>
      </c>
      <c r="AJ396" s="899">
        <v>300</v>
      </c>
      <c r="AK396" s="899">
        <v>300</v>
      </c>
      <c r="AL396" s="899">
        <v>300</v>
      </c>
      <c r="AM396" s="899">
        <v>300</v>
      </c>
      <c r="AN396" s="899">
        <v>300</v>
      </c>
      <c r="AO396" s="1000">
        <v>300</v>
      </c>
    </row>
    <row r="397" spans="1:42" s="18" customFormat="1" ht="13.15" customHeight="1" x14ac:dyDescent="0.2">
      <c r="A397" s="680" t="s">
        <v>254</v>
      </c>
      <c r="B397" s="680"/>
      <c r="C397" s="690">
        <f t="shared" ref="C397:F397" si="1071">C395*C396</f>
        <v>0</v>
      </c>
      <c r="D397" s="690">
        <f t="shared" si="1071"/>
        <v>0</v>
      </c>
      <c r="E397" s="690">
        <f t="shared" si="1071"/>
        <v>0</v>
      </c>
      <c r="F397" s="690">
        <f t="shared" si="1071"/>
        <v>0</v>
      </c>
      <c r="G397" s="902">
        <f>SUM(C397:F397)</f>
        <v>0</v>
      </c>
      <c r="H397" s="690">
        <f t="shared" ref="H397:M397" si="1072">H395*H396</f>
        <v>0</v>
      </c>
      <c r="I397" s="690">
        <f t="shared" si="1072"/>
        <v>0</v>
      </c>
      <c r="J397" s="690">
        <f t="shared" si="1072"/>
        <v>0</v>
      </c>
      <c r="K397" s="690">
        <f t="shared" si="1072"/>
        <v>0</v>
      </c>
      <c r="L397" s="690">
        <f t="shared" si="1072"/>
        <v>0</v>
      </c>
      <c r="M397" s="690">
        <f t="shared" si="1072"/>
        <v>0</v>
      </c>
      <c r="N397" s="690">
        <f t="shared" ref="N397:S397" si="1073">N395*N396</f>
        <v>0</v>
      </c>
      <c r="O397" s="690">
        <f t="shared" si="1073"/>
        <v>0</v>
      </c>
      <c r="P397" s="690">
        <f t="shared" si="1073"/>
        <v>0</v>
      </c>
      <c r="Q397" s="690">
        <f t="shared" si="1073"/>
        <v>0</v>
      </c>
      <c r="R397" s="690">
        <f t="shared" si="1073"/>
        <v>0</v>
      </c>
      <c r="S397" s="690">
        <f t="shared" si="1073"/>
        <v>0</v>
      </c>
      <c r="T397" s="917">
        <f>SUM(H397:S397)</f>
        <v>0</v>
      </c>
      <c r="U397" s="690">
        <f t="shared" ref="U397:AF397" si="1074">U395*U396</f>
        <v>0</v>
      </c>
      <c r="V397" s="690">
        <f t="shared" si="1074"/>
        <v>0</v>
      </c>
      <c r="W397" s="690">
        <f t="shared" si="1074"/>
        <v>0</v>
      </c>
      <c r="X397" s="690">
        <f t="shared" si="1074"/>
        <v>0</v>
      </c>
      <c r="Y397" s="690">
        <f t="shared" si="1074"/>
        <v>0</v>
      </c>
      <c r="Z397" s="690">
        <f t="shared" si="1074"/>
        <v>0</v>
      </c>
      <c r="AA397" s="690">
        <f t="shared" si="1074"/>
        <v>0</v>
      </c>
      <c r="AB397" s="690">
        <f t="shared" si="1074"/>
        <v>0</v>
      </c>
      <c r="AC397" s="690">
        <f t="shared" si="1074"/>
        <v>0</v>
      </c>
      <c r="AD397" s="690">
        <f t="shared" si="1074"/>
        <v>0</v>
      </c>
      <c r="AE397" s="690">
        <f t="shared" si="1074"/>
        <v>0</v>
      </c>
      <c r="AF397" s="690">
        <f t="shared" si="1074"/>
        <v>0</v>
      </c>
      <c r="AG397" s="917">
        <f>SUM(U397:AF397)</f>
        <v>0</v>
      </c>
      <c r="AH397" s="902">
        <f t="shared" ref="AH397:AO397" si="1075">AH395*AH396</f>
        <v>0</v>
      </c>
      <c r="AI397" s="902">
        <f t="shared" si="1075"/>
        <v>0</v>
      </c>
      <c r="AJ397" s="902">
        <f t="shared" si="1075"/>
        <v>0</v>
      </c>
      <c r="AK397" s="902">
        <f t="shared" si="1075"/>
        <v>0</v>
      </c>
      <c r="AL397" s="902">
        <f t="shared" si="1075"/>
        <v>0</v>
      </c>
      <c r="AM397" s="902">
        <f t="shared" si="1075"/>
        <v>0</v>
      </c>
      <c r="AN397" s="902">
        <f t="shared" si="1075"/>
        <v>0</v>
      </c>
      <c r="AO397" s="996">
        <f t="shared" si="1075"/>
        <v>0</v>
      </c>
    </row>
    <row r="398" spans="1:42" s="18" customFormat="1" ht="13.15" customHeight="1" x14ac:dyDescent="0.2">
      <c r="A398" s="680" t="s">
        <v>249</v>
      </c>
      <c r="B398" s="680"/>
      <c r="C398" s="686">
        <f t="shared" ref="C398:F398" si="1076">C386</f>
        <v>1</v>
      </c>
      <c r="D398" s="686">
        <f t="shared" si="1076"/>
        <v>1</v>
      </c>
      <c r="E398" s="686">
        <f t="shared" si="1076"/>
        <v>1</v>
      </c>
      <c r="F398" s="686">
        <f t="shared" si="1076"/>
        <v>1</v>
      </c>
      <c r="G398" s="903">
        <f>F398</f>
        <v>1</v>
      </c>
      <c r="H398" s="686">
        <f t="shared" ref="H398:M398" si="1077">H386</f>
        <v>1</v>
      </c>
      <c r="I398" s="686">
        <f t="shared" si="1077"/>
        <v>1</v>
      </c>
      <c r="J398" s="686">
        <f t="shared" si="1077"/>
        <v>1</v>
      </c>
      <c r="K398" s="686">
        <f t="shared" si="1077"/>
        <v>1</v>
      </c>
      <c r="L398" s="686">
        <f t="shared" si="1077"/>
        <v>1</v>
      </c>
      <c r="M398" s="686">
        <f t="shared" si="1077"/>
        <v>1</v>
      </c>
      <c r="N398" s="686">
        <f t="shared" ref="N398:AO398" si="1078">N386</f>
        <v>1</v>
      </c>
      <c r="O398" s="686">
        <f t="shared" si="1078"/>
        <v>1</v>
      </c>
      <c r="P398" s="686">
        <f t="shared" si="1078"/>
        <v>1</v>
      </c>
      <c r="Q398" s="686">
        <f t="shared" si="1078"/>
        <v>1</v>
      </c>
      <c r="R398" s="686">
        <f t="shared" si="1078"/>
        <v>1</v>
      </c>
      <c r="S398" s="686">
        <f t="shared" si="1078"/>
        <v>1</v>
      </c>
      <c r="T398" s="919">
        <f t="shared" si="1078"/>
        <v>1</v>
      </c>
      <c r="U398" s="686">
        <f t="shared" si="1078"/>
        <v>1</v>
      </c>
      <c r="V398" s="686">
        <f t="shared" si="1078"/>
        <v>1</v>
      </c>
      <c r="W398" s="686">
        <f t="shared" si="1078"/>
        <v>1</v>
      </c>
      <c r="X398" s="686">
        <f t="shared" si="1078"/>
        <v>1</v>
      </c>
      <c r="Y398" s="686">
        <f t="shared" si="1078"/>
        <v>1</v>
      </c>
      <c r="Z398" s="686">
        <f t="shared" si="1078"/>
        <v>1</v>
      </c>
      <c r="AA398" s="686">
        <f t="shared" si="1078"/>
        <v>1</v>
      </c>
      <c r="AB398" s="686">
        <f t="shared" si="1078"/>
        <v>1</v>
      </c>
      <c r="AC398" s="686">
        <f t="shared" si="1078"/>
        <v>1</v>
      </c>
      <c r="AD398" s="686">
        <f t="shared" si="1078"/>
        <v>1</v>
      </c>
      <c r="AE398" s="686">
        <f t="shared" si="1078"/>
        <v>1</v>
      </c>
      <c r="AF398" s="686">
        <f t="shared" si="1078"/>
        <v>1</v>
      </c>
      <c r="AG398" s="919">
        <f t="shared" si="1078"/>
        <v>1</v>
      </c>
      <c r="AH398" s="919">
        <f t="shared" si="1078"/>
        <v>1</v>
      </c>
      <c r="AI398" s="919">
        <f t="shared" si="1078"/>
        <v>1</v>
      </c>
      <c r="AJ398" s="919">
        <f t="shared" si="1078"/>
        <v>1</v>
      </c>
      <c r="AK398" s="919">
        <f t="shared" si="1078"/>
        <v>1</v>
      </c>
      <c r="AL398" s="919">
        <f t="shared" si="1078"/>
        <v>1</v>
      </c>
      <c r="AM398" s="919">
        <f t="shared" si="1078"/>
        <v>1</v>
      </c>
      <c r="AN398" s="919">
        <f t="shared" si="1078"/>
        <v>1</v>
      </c>
      <c r="AO398" s="998">
        <f t="shared" si="1078"/>
        <v>1</v>
      </c>
    </row>
    <row r="399" spans="1:42" s="18" customFormat="1" ht="13.15" customHeight="1" x14ac:dyDescent="0.2">
      <c r="A399" s="680" t="s">
        <v>255</v>
      </c>
      <c r="B399" s="680"/>
      <c r="C399" s="690">
        <f t="shared" ref="C399:F399" si="1079">C397*C398</f>
        <v>0</v>
      </c>
      <c r="D399" s="690">
        <f t="shared" si="1079"/>
        <v>0</v>
      </c>
      <c r="E399" s="690">
        <f t="shared" si="1079"/>
        <v>0</v>
      </c>
      <c r="F399" s="690">
        <f t="shared" si="1079"/>
        <v>0</v>
      </c>
      <c r="G399" s="902">
        <f>SUM(C399:F399)</f>
        <v>0</v>
      </c>
      <c r="H399" s="690">
        <f t="shared" ref="H399:M399" si="1080">H397*H398</f>
        <v>0</v>
      </c>
      <c r="I399" s="690">
        <f t="shared" si="1080"/>
        <v>0</v>
      </c>
      <c r="J399" s="690">
        <f t="shared" si="1080"/>
        <v>0</v>
      </c>
      <c r="K399" s="690">
        <f t="shared" si="1080"/>
        <v>0</v>
      </c>
      <c r="L399" s="690">
        <f t="shared" si="1080"/>
        <v>0</v>
      </c>
      <c r="M399" s="690">
        <f t="shared" si="1080"/>
        <v>0</v>
      </c>
      <c r="N399" s="690">
        <f t="shared" ref="N399:S399" si="1081">N397*N398</f>
        <v>0</v>
      </c>
      <c r="O399" s="690">
        <f t="shared" si="1081"/>
        <v>0</v>
      </c>
      <c r="P399" s="690">
        <f t="shared" si="1081"/>
        <v>0</v>
      </c>
      <c r="Q399" s="690">
        <f t="shared" si="1081"/>
        <v>0</v>
      </c>
      <c r="R399" s="690">
        <f t="shared" si="1081"/>
        <v>0</v>
      </c>
      <c r="S399" s="690">
        <f t="shared" si="1081"/>
        <v>0</v>
      </c>
      <c r="T399" s="918">
        <f>SUM(H399:S399)</f>
        <v>0</v>
      </c>
      <c r="U399" s="690">
        <f t="shared" ref="U399:AF399" si="1082">U397*U398</f>
        <v>0</v>
      </c>
      <c r="V399" s="690">
        <f t="shared" si="1082"/>
        <v>0</v>
      </c>
      <c r="W399" s="690">
        <f t="shared" si="1082"/>
        <v>0</v>
      </c>
      <c r="X399" s="690">
        <f t="shared" si="1082"/>
        <v>0</v>
      </c>
      <c r="Y399" s="690">
        <f t="shared" si="1082"/>
        <v>0</v>
      </c>
      <c r="Z399" s="690">
        <f t="shared" si="1082"/>
        <v>0</v>
      </c>
      <c r="AA399" s="690">
        <f t="shared" si="1082"/>
        <v>0</v>
      </c>
      <c r="AB399" s="690">
        <f t="shared" si="1082"/>
        <v>0</v>
      </c>
      <c r="AC399" s="690">
        <f t="shared" si="1082"/>
        <v>0</v>
      </c>
      <c r="AD399" s="690">
        <f t="shared" si="1082"/>
        <v>0</v>
      </c>
      <c r="AE399" s="690">
        <f t="shared" si="1082"/>
        <v>0</v>
      </c>
      <c r="AF399" s="690">
        <f t="shared" si="1082"/>
        <v>0</v>
      </c>
      <c r="AG399" s="918">
        <f>SUM(U399:AF399)</f>
        <v>0</v>
      </c>
      <c r="AH399" s="902">
        <f t="shared" ref="AH399:AO399" si="1083">AH397*AH398</f>
        <v>0</v>
      </c>
      <c r="AI399" s="902">
        <f t="shared" si="1083"/>
        <v>0</v>
      </c>
      <c r="AJ399" s="902">
        <f t="shared" si="1083"/>
        <v>0</v>
      </c>
      <c r="AK399" s="902">
        <f t="shared" si="1083"/>
        <v>0</v>
      </c>
      <c r="AL399" s="902">
        <f t="shared" si="1083"/>
        <v>0</v>
      </c>
      <c r="AM399" s="902">
        <f t="shared" si="1083"/>
        <v>0</v>
      </c>
      <c r="AN399" s="902">
        <f t="shared" si="1083"/>
        <v>0</v>
      </c>
      <c r="AO399" s="996">
        <f t="shared" si="1083"/>
        <v>0</v>
      </c>
    </row>
    <row r="400" spans="1:42" s="18" customFormat="1" ht="13.15" customHeight="1" x14ac:dyDescent="0.2">
      <c r="A400" s="680"/>
      <c r="B400" s="680"/>
      <c r="C400" s="682"/>
      <c r="D400" s="682"/>
      <c r="E400" s="682"/>
      <c r="F400" s="682"/>
      <c r="G400" s="900"/>
      <c r="H400" s="682"/>
      <c r="I400" s="682"/>
      <c r="J400" s="682"/>
      <c r="K400" s="682"/>
      <c r="L400" s="682"/>
      <c r="M400" s="682"/>
      <c r="N400" s="682"/>
      <c r="O400" s="682"/>
      <c r="P400" s="682"/>
      <c r="Q400" s="682"/>
      <c r="R400" s="682"/>
      <c r="S400" s="682"/>
      <c r="T400" s="917"/>
      <c r="U400" s="682"/>
      <c r="V400" s="682"/>
      <c r="W400" s="682"/>
      <c r="X400" s="682"/>
      <c r="Y400" s="682"/>
      <c r="Z400" s="682"/>
      <c r="AA400" s="682"/>
      <c r="AB400" s="682"/>
      <c r="AC400" s="682"/>
      <c r="AD400" s="682"/>
      <c r="AE400" s="682"/>
      <c r="AF400" s="682"/>
      <c r="AG400" s="917"/>
      <c r="AH400" s="917"/>
      <c r="AI400" s="917"/>
      <c r="AJ400" s="917"/>
      <c r="AK400" s="924"/>
      <c r="AL400" s="924"/>
      <c r="AM400" s="924"/>
      <c r="AN400" s="924"/>
      <c r="AO400" s="995"/>
    </row>
    <row r="401" spans="1:42" s="277" customFormat="1" ht="13.15" customHeight="1" x14ac:dyDescent="0.2">
      <c r="A401" s="676" t="s">
        <v>257</v>
      </c>
      <c r="B401" s="676"/>
      <c r="C401" s="694">
        <f t="shared" ref="C401:F401" si="1084">C387+C393+C399</f>
        <v>0</v>
      </c>
      <c r="D401" s="694">
        <f t="shared" si="1084"/>
        <v>0</v>
      </c>
      <c r="E401" s="694">
        <f t="shared" si="1084"/>
        <v>0</v>
      </c>
      <c r="F401" s="694">
        <f t="shared" si="1084"/>
        <v>0</v>
      </c>
      <c r="G401" s="904">
        <f>SUM(C401:F401)</f>
        <v>0</v>
      </c>
      <c r="H401" s="694">
        <f t="shared" ref="H401:M401" si="1085">H387+H393+H399</f>
        <v>0</v>
      </c>
      <c r="I401" s="694">
        <f t="shared" si="1085"/>
        <v>0</v>
      </c>
      <c r="J401" s="694">
        <f t="shared" si="1085"/>
        <v>0</v>
      </c>
      <c r="K401" s="694">
        <f t="shared" si="1085"/>
        <v>0</v>
      </c>
      <c r="L401" s="694">
        <f t="shared" si="1085"/>
        <v>0</v>
      </c>
      <c r="M401" s="694">
        <f t="shared" si="1085"/>
        <v>0</v>
      </c>
      <c r="N401" s="694">
        <f t="shared" ref="N401:S401" si="1086">N387+N393+N399</f>
        <v>0</v>
      </c>
      <c r="O401" s="694">
        <f t="shared" si="1086"/>
        <v>0</v>
      </c>
      <c r="P401" s="694">
        <f t="shared" si="1086"/>
        <v>0</v>
      </c>
      <c r="Q401" s="694">
        <f t="shared" si="1086"/>
        <v>0</v>
      </c>
      <c r="R401" s="694">
        <f t="shared" si="1086"/>
        <v>0</v>
      </c>
      <c r="S401" s="694">
        <f t="shared" si="1086"/>
        <v>0</v>
      </c>
      <c r="T401" s="915">
        <f>SUM(H401:S401)</f>
        <v>0</v>
      </c>
      <c r="U401" s="694">
        <f t="shared" ref="U401:AF401" si="1087">U387+U393+U399</f>
        <v>0</v>
      </c>
      <c r="V401" s="694">
        <f t="shared" si="1087"/>
        <v>0</v>
      </c>
      <c r="W401" s="694">
        <f t="shared" si="1087"/>
        <v>0</v>
      </c>
      <c r="X401" s="694">
        <f t="shared" si="1087"/>
        <v>0</v>
      </c>
      <c r="Y401" s="694">
        <f t="shared" si="1087"/>
        <v>0</v>
      </c>
      <c r="Z401" s="694">
        <f t="shared" si="1087"/>
        <v>0</v>
      </c>
      <c r="AA401" s="694">
        <f t="shared" si="1087"/>
        <v>0</v>
      </c>
      <c r="AB401" s="694">
        <f t="shared" si="1087"/>
        <v>0</v>
      </c>
      <c r="AC401" s="694">
        <f t="shared" si="1087"/>
        <v>0</v>
      </c>
      <c r="AD401" s="694">
        <f t="shared" si="1087"/>
        <v>0</v>
      </c>
      <c r="AE401" s="694">
        <f t="shared" si="1087"/>
        <v>0</v>
      </c>
      <c r="AF401" s="694">
        <f t="shared" si="1087"/>
        <v>0</v>
      </c>
      <c r="AG401" s="904">
        <f>SUM(U401:AF401)</f>
        <v>0</v>
      </c>
      <c r="AH401" s="904">
        <f t="shared" ref="AH401:AO401" si="1088">AH387+AH393+AH399</f>
        <v>0</v>
      </c>
      <c r="AI401" s="904">
        <f t="shared" si="1088"/>
        <v>15.479099999999999</v>
      </c>
      <c r="AJ401" s="904">
        <f t="shared" si="1088"/>
        <v>63.773892000000004</v>
      </c>
      <c r="AK401" s="904">
        <f t="shared" si="1088"/>
        <v>146.36108213999998</v>
      </c>
      <c r="AL401" s="904">
        <f t="shared" si="1088"/>
        <v>295.64938592279992</v>
      </c>
      <c r="AM401" s="904">
        <f t="shared" si="1088"/>
        <v>498.22396516619995</v>
      </c>
      <c r="AN401" s="904">
        <f t="shared" si="1088"/>
        <v>656.99863538399995</v>
      </c>
      <c r="AO401" s="1001">
        <f t="shared" si="1088"/>
        <v>766.49840794800002</v>
      </c>
    </row>
    <row r="402" spans="1:42" s="18" customFormat="1" ht="13.15" customHeight="1" x14ac:dyDescent="0.2">
      <c r="A402" s="680"/>
      <c r="B402" s="680"/>
      <c r="C402" s="682"/>
      <c r="D402" s="682"/>
      <c r="E402" s="682"/>
      <c r="F402" s="682"/>
      <c r="G402" s="900"/>
      <c r="H402" s="682"/>
      <c r="I402" s="682"/>
      <c r="J402" s="682"/>
      <c r="K402" s="682"/>
      <c r="L402" s="682"/>
      <c r="M402" s="682"/>
      <c r="N402" s="682"/>
      <c r="O402" s="682"/>
      <c r="P402" s="682"/>
      <c r="Q402" s="682"/>
      <c r="R402" s="682"/>
      <c r="S402" s="682"/>
      <c r="T402" s="917"/>
      <c r="U402" s="682"/>
      <c r="V402" s="682"/>
      <c r="W402" s="682"/>
      <c r="X402" s="682"/>
      <c r="Y402" s="682"/>
      <c r="Z402" s="682"/>
      <c r="AA402" s="682"/>
      <c r="AB402" s="682"/>
      <c r="AC402" s="682"/>
      <c r="AD402" s="682"/>
      <c r="AE402" s="682"/>
      <c r="AF402" s="682"/>
      <c r="AG402" s="917"/>
      <c r="AH402" s="917"/>
      <c r="AI402" s="917"/>
      <c r="AJ402" s="917"/>
      <c r="AK402" s="924"/>
      <c r="AL402" s="924"/>
      <c r="AM402" s="924"/>
      <c r="AN402" s="924"/>
      <c r="AO402" s="995"/>
    </row>
    <row r="403" spans="1:42" s="18" customFormat="1" ht="13.15" customHeight="1" x14ac:dyDescent="0.2">
      <c r="A403" s="680" t="s">
        <v>258</v>
      </c>
      <c r="B403" s="680"/>
      <c r="C403" s="767">
        <f t="shared" ref="C403:F403" si="1089">C322</f>
        <v>300</v>
      </c>
      <c r="D403" s="767">
        <f t="shared" si="1089"/>
        <v>300</v>
      </c>
      <c r="E403" s="767">
        <f t="shared" si="1089"/>
        <v>300</v>
      </c>
      <c r="F403" s="767">
        <f t="shared" si="1089"/>
        <v>300</v>
      </c>
      <c r="G403" s="905">
        <f>F403</f>
        <v>300</v>
      </c>
      <c r="H403" s="767">
        <f t="shared" ref="H403:M403" si="1090">H322</f>
        <v>300</v>
      </c>
      <c r="I403" s="767">
        <f t="shared" si="1090"/>
        <v>300</v>
      </c>
      <c r="J403" s="767">
        <f t="shared" si="1090"/>
        <v>300</v>
      </c>
      <c r="K403" s="767">
        <f t="shared" si="1090"/>
        <v>300</v>
      </c>
      <c r="L403" s="767">
        <f t="shared" si="1090"/>
        <v>300</v>
      </c>
      <c r="M403" s="767">
        <f t="shared" si="1090"/>
        <v>300</v>
      </c>
      <c r="N403" s="767">
        <f t="shared" ref="N403:AO403" si="1091">N$25</f>
        <v>300</v>
      </c>
      <c r="O403" s="767">
        <f t="shared" si="1091"/>
        <v>300</v>
      </c>
      <c r="P403" s="767">
        <f t="shared" si="1091"/>
        <v>300</v>
      </c>
      <c r="Q403" s="767">
        <f t="shared" si="1091"/>
        <v>300</v>
      </c>
      <c r="R403" s="767">
        <f t="shared" si="1091"/>
        <v>300</v>
      </c>
      <c r="S403" s="767">
        <f t="shared" si="1091"/>
        <v>300</v>
      </c>
      <c r="T403" s="905">
        <f t="shared" si="1091"/>
        <v>300</v>
      </c>
      <c r="U403" s="767">
        <f t="shared" si="1091"/>
        <v>300</v>
      </c>
      <c r="V403" s="767">
        <f t="shared" si="1091"/>
        <v>300</v>
      </c>
      <c r="W403" s="767">
        <f t="shared" si="1091"/>
        <v>300</v>
      </c>
      <c r="X403" s="767">
        <f t="shared" si="1091"/>
        <v>300</v>
      </c>
      <c r="Y403" s="767">
        <f t="shared" si="1091"/>
        <v>300</v>
      </c>
      <c r="Z403" s="767">
        <f t="shared" si="1091"/>
        <v>300</v>
      </c>
      <c r="AA403" s="767">
        <f t="shared" si="1091"/>
        <v>300</v>
      </c>
      <c r="AB403" s="767">
        <f t="shared" si="1091"/>
        <v>300</v>
      </c>
      <c r="AC403" s="767">
        <f t="shared" si="1091"/>
        <v>300</v>
      </c>
      <c r="AD403" s="767">
        <f t="shared" si="1091"/>
        <v>300</v>
      </c>
      <c r="AE403" s="767">
        <f t="shared" si="1091"/>
        <v>300</v>
      </c>
      <c r="AF403" s="767">
        <f t="shared" si="1091"/>
        <v>300</v>
      </c>
      <c r="AG403" s="905">
        <f t="shared" si="1091"/>
        <v>300</v>
      </c>
      <c r="AH403" s="905">
        <f t="shared" si="1091"/>
        <v>300</v>
      </c>
      <c r="AI403" s="905">
        <f t="shared" si="1091"/>
        <v>300</v>
      </c>
      <c r="AJ403" s="905">
        <f t="shared" si="1091"/>
        <v>300</v>
      </c>
      <c r="AK403" s="905">
        <f t="shared" si="1091"/>
        <v>300</v>
      </c>
      <c r="AL403" s="905">
        <f t="shared" si="1091"/>
        <v>300</v>
      </c>
      <c r="AM403" s="905">
        <f t="shared" si="1091"/>
        <v>300</v>
      </c>
      <c r="AN403" s="905">
        <f t="shared" si="1091"/>
        <v>300</v>
      </c>
      <c r="AO403" s="1002">
        <f t="shared" si="1091"/>
        <v>300</v>
      </c>
      <c r="AP403" s="988"/>
    </row>
    <row r="404" spans="1:42" s="18" customFormat="1" ht="13.15" customHeight="1" x14ac:dyDescent="0.2">
      <c r="A404" s="680"/>
      <c r="B404" s="680"/>
      <c r="C404" s="682"/>
      <c r="D404" s="682"/>
      <c r="E404" s="682"/>
      <c r="F404" s="682"/>
      <c r="G404" s="900"/>
      <c r="H404" s="682"/>
      <c r="I404" s="682"/>
      <c r="J404" s="682"/>
      <c r="K404" s="682"/>
      <c r="L404" s="682"/>
      <c r="M404" s="682"/>
      <c r="N404" s="682"/>
      <c r="O404" s="682"/>
      <c r="P404" s="682"/>
      <c r="Q404" s="682"/>
      <c r="R404" s="682"/>
      <c r="S404" s="682"/>
      <c r="T404" s="917"/>
      <c r="U404" s="682"/>
      <c r="V404" s="682"/>
      <c r="W404" s="682"/>
      <c r="X404" s="682"/>
      <c r="Y404" s="682"/>
      <c r="Z404" s="682"/>
      <c r="AA404" s="682"/>
      <c r="AB404" s="682"/>
      <c r="AC404" s="682"/>
      <c r="AD404" s="682"/>
      <c r="AE404" s="682"/>
      <c r="AF404" s="682"/>
      <c r="AG404" s="917"/>
      <c r="AH404" s="917"/>
      <c r="AI404" s="917"/>
      <c r="AJ404" s="917"/>
      <c r="AK404" s="924"/>
      <c r="AL404" s="924"/>
      <c r="AM404" s="924"/>
      <c r="AN404" s="924"/>
      <c r="AO404" s="995"/>
    </row>
    <row r="405" spans="1:42" s="794" customFormat="1" ht="13.15" customHeight="1" x14ac:dyDescent="0.2">
      <c r="A405" s="763" t="s">
        <v>428</v>
      </c>
      <c r="B405" s="763"/>
      <c r="C405" s="765">
        <f t="shared" ref="C405:F405" si="1092">C401*C403</f>
        <v>0</v>
      </c>
      <c r="D405" s="765">
        <f t="shared" si="1092"/>
        <v>0</v>
      </c>
      <c r="E405" s="765">
        <f t="shared" si="1092"/>
        <v>0</v>
      </c>
      <c r="F405" s="765">
        <f t="shared" si="1092"/>
        <v>0</v>
      </c>
      <c r="G405" s="906">
        <f>SUM(C405:F405)</f>
        <v>0</v>
      </c>
      <c r="H405" s="765">
        <f t="shared" ref="H405:M405" si="1093">H401*H403</f>
        <v>0</v>
      </c>
      <c r="I405" s="765">
        <f t="shared" si="1093"/>
        <v>0</v>
      </c>
      <c r="J405" s="765">
        <f t="shared" si="1093"/>
        <v>0</v>
      </c>
      <c r="K405" s="765">
        <f t="shared" si="1093"/>
        <v>0</v>
      </c>
      <c r="L405" s="765">
        <f t="shared" si="1093"/>
        <v>0</v>
      </c>
      <c r="M405" s="765">
        <f t="shared" si="1093"/>
        <v>0</v>
      </c>
      <c r="N405" s="765">
        <f t="shared" ref="N405:S405" si="1094">N401*N403</f>
        <v>0</v>
      </c>
      <c r="O405" s="765">
        <f t="shared" si="1094"/>
        <v>0</v>
      </c>
      <c r="P405" s="765">
        <f t="shared" si="1094"/>
        <v>0</v>
      </c>
      <c r="Q405" s="765">
        <f t="shared" si="1094"/>
        <v>0</v>
      </c>
      <c r="R405" s="765">
        <f t="shared" si="1094"/>
        <v>0</v>
      </c>
      <c r="S405" s="765">
        <f t="shared" si="1094"/>
        <v>0</v>
      </c>
      <c r="T405" s="906">
        <f>SUM(H405:S405)</f>
        <v>0</v>
      </c>
      <c r="U405" s="765">
        <f>U401*U403</f>
        <v>0</v>
      </c>
      <c r="V405" s="765">
        <f t="shared" ref="V405:AF405" si="1095">V401*V403</f>
        <v>0</v>
      </c>
      <c r="W405" s="765">
        <f t="shared" si="1095"/>
        <v>0</v>
      </c>
      <c r="X405" s="765">
        <f t="shared" si="1095"/>
        <v>0</v>
      </c>
      <c r="Y405" s="765">
        <f t="shared" si="1095"/>
        <v>0</v>
      </c>
      <c r="Z405" s="765">
        <f t="shared" si="1095"/>
        <v>0</v>
      </c>
      <c r="AA405" s="765">
        <f t="shared" si="1095"/>
        <v>0</v>
      </c>
      <c r="AB405" s="765">
        <f t="shared" si="1095"/>
        <v>0</v>
      </c>
      <c r="AC405" s="765">
        <f t="shared" si="1095"/>
        <v>0</v>
      </c>
      <c r="AD405" s="765">
        <f t="shared" si="1095"/>
        <v>0</v>
      </c>
      <c r="AE405" s="765">
        <f t="shared" si="1095"/>
        <v>0</v>
      </c>
      <c r="AF405" s="765">
        <f t="shared" si="1095"/>
        <v>0</v>
      </c>
      <c r="AG405" s="906">
        <f>SUM(U405:AF405)</f>
        <v>0</v>
      </c>
      <c r="AH405" s="906">
        <f t="shared" ref="AH405:AO405" si="1096">AH401*AH403</f>
        <v>0</v>
      </c>
      <c r="AI405" s="906">
        <f t="shared" si="1096"/>
        <v>4643.7299999999996</v>
      </c>
      <c r="AJ405" s="906">
        <f t="shared" si="1096"/>
        <v>19132.167600000001</v>
      </c>
      <c r="AK405" s="906">
        <f t="shared" si="1096"/>
        <v>43908.324641999992</v>
      </c>
      <c r="AL405" s="906">
        <f t="shared" si="1096"/>
        <v>88694.815776839983</v>
      </c>
      <c r="AM405" s="906">
        <f t="shared" si="1096"/>
        <v>149467.18954985999</v>
      </c>
      <c r="AN405" s="906">
        <f t="shared" si="1096"/>
        <v>197099.5906152</v>
      </c>
      <c r="AO405" s="1003">
        <f t="shared" si="1096"/>
        <v>229949.52238440001</v>
      </c>
      <c r="AP405" s="277"/>
    </row>
    <row r="406" spans="1:42" s="18" customFormat="1" ht="13.15" customHeight="1" x14ac:dyDescent="0.2">
      <c r="A406" s="680"/>
      <c r="B406" s="680"/>
      <c r="C406" s="680"/>
      <c r="D406" s="680"/>
      <c r="E406" s="680"/>
      <c r="F406" s="680"/>
      <c r="G406" s="900"/>
      <c r="H406" s="682"/>
      <c r="I406" s="682"/>
      <c r="J406" s="682"/>
      <c r="K406" s="682"/>
      <c r="L406" s="682"/>
      <c r="M406" s="682"/>
      <c r="N406" s="682"/>
      <c r="O406" s="682"/>
      <c r="P406" s="682"/>
      <c r="Q406" s="682"/>
      <c r="R406" s="682"/>
      <c r="S406" s="682"/>
      <c r="T406" s="917"/>
      <c r="U406" s="682"/>
      <c r="V406" s="682"/>
      <c r="W406" s="682"/>
      <c r="X406" s="682"/>
      <c r="Y406" s="682"/>
      <c r="Z406" s="682"/>
      <c r="AA406" s="682"/>
      <c r="AB406" s="682"/>
      <c r="AC406" s="682"/>
      <c r="AD406" s="682"/>
      <c r="AE406" s="682"/>
      <c r="AF406" s="682"/>
      <c r="AG406" s="917"/>
      <c r="AH406" s="917"/>
      <c r="AI406" s="917"/>
      <c r="AJ406" s="917"/>
      <c r="AK406" s="924"/>
      <c r="AL406" s="924"/>
      <c r="AM406" s="924"/>
      <c r="AN406" s="924"/>
      <c r="AO406" s="995"/>
    </row>
    <row r="407" spans="1:42" s="18" customFormat="1" ht="13.15" customHeight="1" x14ac:dyDescent="0.2">
      <c r="A407" s="680"/>
      <c r="B407" s="680"/>
      <c r="C407" s="680"/>
      <c r="D407" s="680"/>
      <c r="E407" s="680"/>
      <c r="F407" s="680"/>
      <c r="G407" s="900"/>
      <c r="H407" s="682"/>
      <c r="I407" s="682"/>
      <c r="J407" s="682"/>
      <c r="K407" s="682"/>
      <c r="L407" s="682"/>
      <c r="M407" s="682"/>
      <c r="N407" s="682"/>
      <c r="O407" s="682"/>
      <c r="P407" s="682"/>
      <c r="Q407" s="682"/>
      <c r="R407" s="682"/>
      <c r="S407" s="682"/>
      <c r="T407" s="917"/>
      <c r="U407" s="682"/>
      <c r="V407" s="682"/>
      <c r="W407" s="682"/>
      <c r="X407" s="682"/>
      <c r="Y407" s="682"/>
      <c r="Z407" s="682"/>
      <c r="AA407" s="682"/>
      <c r="AB407" s="682"/>
      <c r="AC407" s="682"/>
      <c r="AD407" s="682"/>
      <c r="AE407" s="682"/>
      <c r="AF407" s="682"/>
      <c r="AG407" s="917"/>
      <c r="AH407" s="917"/>
      <c r="AI407" s="917"/>
      <c r="AJ407" s="917"/>
      <c r="AK407" s="924"/>
      <c r="AL407" s="924"/>
      <c r="AM407" s="924"/>
      <c r="AN407" s="924"/>
      <c r="AO407" s="995"/>
    </row>
    <row r="408" spans="1:42" s="18" customFormat="1" ht="13.15" customHeight="1" x14ac:dyDescent="0.2">
      <c r="A408" s="676" t="s">
        <v>455</v>
      </c>
      <c r="B408" s="676"/>
      <c r="C408" s="676"/>
      <c r="D408" s="676"/>
      <c r="E408" s="676"/>
      <c r="F408" s="676"/>
      <c r="G408" s="898"/>
      <c r="H408" s="678"/>
      <c r="I408" s="678"/>
      <c r="J408" s="678"/>
      <c r="K408" s="678"/>
      <c r="L408" s="678"/>
      <c r="M408" s="678"/>
      <c r="N408" s="678"/>
      <c r="O408" s="678"/>
      <c r="P408" s="678"/>
      <c r="Q408" s="678"/>
      <c r="R408" s="678"/>
      <c r="S408" s="678"/>
      <c r="T408" s="915"/>
      <c r="U408" s="678"/>
      <c r="V408" s="678"/>
      <c r="W408" s="678"/>
      <c r="X408" s="678"/>
      <c r="Y408" s="678"/>
      <c r="Z408" s="678"/>
      <c r="AA408" s="678"/>
      <c r="AB408" s="678"/>
      <c r="AC408" s="678"/>
      <c r="AD408" s="678"/>
      <c r="AE408" s="678"/>
      <c r="AF408" s="678"/>
      <c r="AG408" s="915"/>
      <c r="AH408" s="915"/>
      <c r="AI408" s="915"/>
      <c r="AJ408" s="915"/>
      <c r="AK408" s="924"/>
      <c r="AL408" s="924"/>
      <c r="AM408" s="924"/>
      <c r="AN408" s="924"/>
      <c r="AO408" s="995"/>
    </row>
    <row r="409" spans="1:42" s="18" customFormat="1" ht="13.15" customHeight="1" x14ac:dyDescent="0.2">
      <c r="A409" s="674" t="s">
        <v>250</v>
      </c>
      <c r="B409" s="674"/>
      <c r="C409" s="690">
        <f>$G409/12</f>
        <v>83.333333333333329</v>
      </c>
      <c r="D409" s="690">
        <f t="shared" ref="D409:F409" si="1097">$G409/12</f>
        <v>83.333333333333329</v>
      </c>
      <c r="E409" s="690">
        <f t="shared" si="1097"/>
        <v>83.333333333333329</v>
      </c>
      <c r="F409" s="690">
        <f t="shared" si="1097"/>
        <v>83.333333333333329</v>
      </c>
      <c r="G409" s="899">
        <v>1000</v>
      </c>
      <c r="H409" s="690">
        <f t="shared" ref="H409:M409" si="1098">$T409/12</f>
        <v>83.333333333333329</v>
      </c>
      <c r="I409" s="690">
        <f t="shared" si="1098"/>
        <v>83.333333333333329</v>
      </c>
      <c r="J409" s="690">
        <f t="shared" si="1098"/>
        <v>83.333333333333329</v>
      </c>
      <c r="K409" s="690">
        <f t="shared" si="1098"/>
        <v>83.333333333333329</v>
      </c>
      <c r="L409" s="690">
        <f t="shared" si="1098"/>
        <v>83.333333333333329</v>
      </c>
      <c r="M409" s="690">
        <f t="shared" si="1098"/>
        <v>83.333333333333329</v>
      </c>
      <c r="N409" s="690">
        <f t="shared" ref="N409:S409" si="1099">$T409/12</f>
        <v>83.333333333333329</v>
      </c>
      <c r="O409" s="690">
        <f t="shared" si="1099"/>
        <v>83.333333333333329</v>
      </c>
      <c r="P409" s="690">
        <f t="shared" si="1099"/>
        <v>83.333333333333329</v>
      </c>
      <c r="Q409" s="690">
        <f t="shared" si="1099"/>
        <v>83.333333333333329</v>
      </c>
      <c r="R409" s="690">
        <f t="shared" si="1099"/>
        <v>83.333333333333329</v>
      </c>
      <c r="S409" s="690">
        <f t="shared" si="1099"/>
        <v>83.333333333333329</v>
      </c>
      <c r="T409" s="899">
        <v>1000</v>
      </c>
      <c r="U409" s="690">
        <f>$AG409/12</f>
        <v>87.5</v>
      </c>
      <c r="V409" s="690">
        <f t="shared" ref="V409:AF409" si="1100">$AG409/12</f>
        <v>87.5</v>
      </c>
      <c r="W409" s="690">
        <f t="shared" si="1100"/>
        <v>87.5</v>
      </c>
      <c r="X409" s="690">
        <f t="shared" si="1100"/>
        <v>87.5</v>
      </c>
      <c r="Y409" s="690">
        <f t="shared" si="1100"/>
        <v>87.5</v>
      </c>
      <c r="Z409" s="690">
        <f t="shared" si="1100"/>
        <v>87.5</v>
      </c>
      <c r="AA409" s="690">
        <f t="shared" si="1100"/>
        <v>87.5</v>
      </c>
      <c r="AB409" s="690">
        <f t="shared" si="1100"/>
        <v>87.5</v>
      </c>
      <c r="AC409" s="690">
        <f t="shared" si="1100"/>
        <v>87.5</v>
      </c>
      <c r="AD409" s="690">
        <f t="shared" si="1100"/>
        <v>87.5</v>
      </c>
      <c r="AE409" s="690">
        <f t="shared" si="1100"/>
        <v>87.5</v>
      </c>
      <c r="AF409" s="690">
        <f t="shared" si="1100"/>
        <v>87.5</v>
      </c>
      <c r="AG409" s="902">
        <f>T409*(1+AG410)</f>
        <v>1050</v>
      </c>
      <c r="AH409" s="902">
        <f t="shared" ref="AH409:AO409" si="1101">AG409*(1+AH410)</f>
        <v>1102.5</v>
      </c>
      <c r="AI409" s="902">
        <f t="shared" si="1101"/>
        <v>1146.6000000000001</v>
      </c>
      <c r="AJ409" s="902">
        <f t="shared" si="1101"/>
        <v>1180.9980000000003</v>
      </c>
      <c r="AK409" s="902">
        <f t="shared" si="1101"/>
        <v>1204.6179600000003</v>
      </c>
      <c r="AL409" s="902">
        <f t="shared" si="1101"/>
        <v>1216.6641396000002</v>
      </c>
      <c r="AM409" s="902">
        <f t="shared" si="1101"/>
        <v>1216.6641396000002</v>
      </c>
      <c r="AN409" s="902">
        <f t="shared" si="1101"/>
        <v>1216.6641396000002</v>
      </c>
      <c r="AO409" s="996">
        <f t="shared" si="1101"/>
        <v>1216.6641396000002</v>
      </c>
    </row>
    <row r="410" spans="1:42" s="987" customFormat="1" ht="13.15" customHeight="1" x14ac:dyDescent="0.2">
      <c r="A410" s="680" t="s">
        <v>324</v>
      </c>
      <c r="B410" s="680"/>
      <c r="C410" s="687"/>
      <c r="D410" s="687"/>
      <c r="E410" s="687"/>
      <c r="F410" s="687"/>
      <c r="G410" s="900"/>
      <c r="H410" s="687"/>
      <c r="I410" s="687"/>
      <c r="J410" s="687"/>
      <c r="K410" s="687"/>
      <c r="L410" s="687"/>
      <c r="M410" s="687"/>
      <c r="N410" s="687"/>
      <c r="O410" s="687"/>
      <c r="P410" s="687"/>
      <c r="Q410" s="687"/>
      <c r="R410" s="687"/>
      <c r="S410" s="687"/>
      <c r="T410" s="916"/>
      <c r="U410" s="687"/>
      <c r="V410" s="687"/>
      <c r="W410" s="687"/>
      <c r="X410" s="687"/>
      <c r="Y410" s="687"/>
      <c r="Z410" s="687"/>
      <c r="AA410" s="687"/>
      <c r="AB410" s="687"/>
      <c r="AC410" s="687"/>
      <c r="AD410" s="687"/>
      <c r="AE410" s="687"/>
      <c r="AF410" s="687"/>
      <c r="AG410" s="921">
        <v>0.05</v>
      </c>
      <c r="AH410" s="921">
        <v>0.05</v>
      </c>
      <c r="AI410" s="921">
        <f>AH410-1%</f>
        <v>0.04</v>
      </c>
      <c r="AJ410" s="921">
        <f>AI410-1%</f>
        <v>0.03</v>
      </c>
      <c r="AK410" s="921">
        <f>AJ410-1%</f>
        <v>1.9999999999999997E-2</v>
      </c>
      <c r="AL410" s="921">
        <f>AK410-1%</f>
        <v>9.9999999999999967E-3</v>
      </c>
      <c r="AM410" s="921">
        <f>AL410-1%</f>
        <v>0</v>
      </c>
      <c r="AN410" s="925">
        <f>AM410</f>
        <v>0</v>
      </c>
      <c r="AO410" s="997">
        <f>AN410</f>
        <v>0</v>
      </c>
    </row>
    <row r="411" spans="1:42" s="987" customFormat="1" ht="13.15" customHeight="1" x14ac:dyDescent="0.2">
      <c r="A411" s="680" t="s">
        <v>248</v>
      </c>
      <c r="B411" s="680"/>
      <c r="C411" s="687">
        <f t="shared" ref="C411:F411" si="1102">C384</f>
        <v>0</v>
      </c>
      <c r="D411" s="687">
        <f t="shared" si="1102"/>
        <v>0</v>
      </c>
      <c r="E411" s="687">
        <f t="shared" si="1102"/>
        <v>0</v>
      </c>
      <c r="F411" s="687">
        <f t="shared" si="1102"/>
        <v>0</v>
      </c>
      <c r="G411" s="900">
        <f>F411</f>
        <v>0</v>
      </c>
      <c r="H411" s="687">
        <f t="shared" ref="H411:M411" si="1103">H384</f>
        <v>0</v>
      </c>
      <c r="I411" s="687">
        <f t="shared" si="1103"/>
        <v>0</v>
      </c>
      <c r="J411" s="687">
        <f t="shared" si="1103"/>
        <v>0</v>
      </c>
      <c r="K411" s="687">
        <f t="shared" si="1103"/>
        <v>0</v>
      </c>
      <c r="L411" s="687">
        <f t="shared" si="1103"/>
        <v>0</v>
      </c>
      <c r="M411" s="687">
        <f t="shared" si="1103"/>
        <v>0</v>
      </c>
      <c r="N411" s="687">
        <f t="shared" ref="N411:S411" si="1104">N384</f>
        <v>0</v>
      </c>
      <c r="O411" s="687">
        <f t="shared" si="1104"/>
        <v>0</v>
      </c>
      <c r="P411" s="687">
        <f t="shared" si="1104"/>
        <v>0</v>
      </c>
      <c r="Q411" s="687">
        <f t="shared" si="1104"/>
        <v>0</v>
      </c>
      <c r="R411" s="687">
        <f t="shared" si="1104"/>
        <v>0</v>
      </c>
      <c r="S411" s="687">
        <f t="shared" si="1104"/>
        <v>0</v>
      </c>
      <c r="T411" s="916">
        <f>S411</f>
        <v>0</v>
      </c>
      <c r="U411" s="687">
        <v>0</v>
      </c>
      <c r="V411" s="687">
        <f t="shared" ref="V411:AG411" si="1105">U411</f>
        <v>0</v>
      </c>
      <c r="W411" s="687">
        <f t="shared" si="1105"/>
        <v>0</v>
      </c>
      <c r="X411" s="687">
        <f t="shared" si="1105"/>
        <v>0</v>
      </c>
      <c r="Y411" s="687">
        <f t="shared" si="1105"/>
        <v>0</v>
      </c>
      <c r="Z411" s="687">
        <f t="shared" si="1105"/>
        <v>0</v>
      </c>
      <c r="AA411" s="687">
        <f t="shared" si="1105"/>
        <v>0</v>
      </c>
      <c r="AB411" s="687">
        <f t="shared" si="1105"/>
        <v>0</v>
      </c>
      <c r="AC411" s="687">
        <f t="shared" si="1105"/>
        <v>0</v>
      </c>
      <c r="AD411" s="687">
        <f t="shared" si="1105"/>
        <v>0</v>
      </c>
      <c r="AE411" s="687">
        <f t="shared" si="1105"/>
        <v>0</v>
      </c>
      <c r="AF411" s="687">
        <f t="shared" si="1105"/>
        <v>0</v>
      </c>
      <c r="AG411" s="916">
        <f t="shared" si="1105"/>
        <v>0</v>
      </c>
      <c r="AH411" s="921">
        <f>AH384</f>
        <v>0</v>
      </c>
      <c r="AI411" s="921">
        <f t="shared" ref="AI411:AO411" si="1106">AI384</f>
        <v>6.0000000000000001E-3</v>
      </c>
      <c r="AJ411" s="921">
        <f t="shared" si="1106"/>
        <v>1.7999999999999999E-2</v>
      </c>
      <c r="AK411" s="921">
        <f t="shared" si="1106"/>
        <v>3.5999999999999997E-2</v>
      </c>
      <c r="AL411" s="921">
        <f t="shared" si="1106"/>
        <v>7.1999999999999995E-2</v>
      </c>
      <c r="AM411" s="921">
        <f t="shared" si="1106"/>
        <v>0.11</v>
      </c>
      <c r="AN411" s="921">
        <f t="shared" si="1106"/>
        <v>0.13</v>
      </c>
      <c r="AO411" s="1004">
        <f t="shared" si="1106"/>
        <v>0.15</v>
      </c>
    </row>
    <row r="412" spans="1:42" s="18" customFormat="1" ht="13.15" customHeight="1" x14ac:dyDescent="0.2">
      <c r="A412" s="680" t="s">
        <v>251</v>
      </c>
      <c r="B412" s="680"/>
      <c r="C412" s="690">
        <f t="shared" ref="C412:F412" si="1107">C409*C411</f>
        <v>0</v>
      </c>
      <c r="D412" s="690">
        <f t="shared" si="1107"/>
        <v>0</v>
      </c>
      <c r="E412" s="690">
        <f t="shared" si="1107"/>
        <v>0</v>
      </c>
      <c r="F412" s="690">
        <f t="shared" si="1107"/>
        <v>0</v>
      </c>
      <c r="G412" s="902">
        <f>SUM(C412:F412)</f>
        <v>0</v>
      </c>
      <c r="H412" s="690">
        <f t="shared" ref="H412:M412" si="1108">H409*H411</f>
        <v>0</v>
      </c>
      <c r="I412" s="690">
        <f t="shared" si="1108"/>
        <v>0</v>
      </c>
      <c r="J412" s="690">
        <f t="shared" si="1108"/>
        <v>0</v>
      </c>
      <c r="K412" s="690">
        <f t="shared" si="1108"/>
        <v>0</v>
      </c>
      <c r="L412" s="690">
        <f t="shared" si="1108"/>
        <v>0</v>
      </c>
      <c r="M412" s="690">
        <f t="shared" si="1108"/>
        <v>0</v>
      </c>
      <c r="N412" s="690">
        <f t="shared" ref="N412:S412" si="1109">N409*N411</f>
        <v>0</v>
      </c>
      <c r="O412" s="690">
        <f t="shared" si="1109"/>
        <v>0</v>
      </c>
      <c r="P412" s="690">
        <f t="shared" si="1109"/>
        <v>0</v>
      </c>
      <c r="Q412" s="690">
        <f t="shared" si="1109"/>
        <v>0</v>
      </c>
      <c r="R412" s="690">
        <f t="shared" si="1109"/>
        <v>0</v>
      </c>
      <c r="S412" s="690">
        <f t="shared" si="1109"/>
        <v>0</v>
      </c>
      <c r="T412" s="917">
        <f>SUM(H412:S412)</f>
        <v>0</v>
      </c>
      <c r="U412" s="690">
        <f t="shared" ref="U412:AF412" si="1110">U409*U411</f>
        <v>0</v>
      </c>
      <c r="V412" s="690">
        <f t="shared" si="1110"/>
        <v>0</v>
      </c>
      <c r="W412" s="690">
        <f t="shared" si="1110"/>
        <v>0</v>
      </c>
      <c r="X412" s="690">
        <f t="shared" si="1110"/>
        <v>0</v>
      </c>
      <c r="Y412" s="690">
        <f t="shared" si="1110"/>
        <v>0</v>
      </c>
      <c r="Z412" s="690">
        <f t="shared" si="1110"/>
        <v>0</v>
      </c>
      <c r="AA412" s="690">
        <f t="shared" si="1110"/>
        <v>0</v>
      </c>
      <c r="AB412" s="690">
        <f t="shared" si="1110"/>
        <v>0</v>
      </c>
      <c r="AC412" s="690">
        <f t="shared" si="1110"/>
        <v>0</v>
      </c>
      <c r="AD412" s="690">
        <f t="shared" si="1110"/>
        <v>0</v>
      </c>
      <c r="AE412" s="690">
        <f t="shared" si="1110"/>
        <v>0</v>
      </c>
      <c r="AF412" s="690">
        <f t="shared" si="1110"/>
        <v>0</v>
      </c>
      <c r="AG412" s="902">
        <f>SUM(U412:AF412)</f>
        <v>0</v>
      </c>
      <c r="AH412" s="902">
        <f>AH409*AVERAGE(AF411,AH411)</f>
        <v>0</v>
      </c>
      <c r="AI412" s="902">
        <f t="shared" ref="AI412:AO412" si="1111">AI409*AVERAGE(AH411,AI411)</f>
        <v>3.4398000000000004</v>
      </c>
      <c r="AJ412" s="902">
        <f t="shared" si="1111"/>
        <v>14.171976000000004</v>
      </c>
      <c r="AK412" s="902">
        <f t="shared" si="1111"/>
        <v>32.524684920000006</v>
      </c>
      <c r="AL412" s="902">
        <f t="shared" si="1111"/>
        <v>65.69986353840001</v>
      </c>
      <c r="AM412" s="902">
        <f t="shared" si="1111"/>
        <v>110.71643670360002</v>
      </c>
      <c r="AN412" s="902">
        <f t="shared" si="1111"/>
        <v>145.99969675200003</v>
      </c>
      <c r="AO412" s="996">
        <f t="shared" si="1111"/>
        <v>170.33297954400004</v>
      </c>
    </row>
    <row r="413" spans="1:42" s="18" customFormat="1" ht="13.15" customHeight="1" x14ac:dyDescent="0.2">
      <c r="A413" s="680" t="s">
        <v>249</v>
      </c>
      <c r="B413" s="680"/>
      <c r="C413" s="686">
        <v>2</v>
      </c>
      <c r="D413" s="686">
        <f>C413</f>
        <v>2</v>
      </c>
      <c r="E413" s="686">
        <f t="shared" ref="E413:F413" si="1112">D413</f>
        <v>2</v>
      </c>
      <c r="F413" s="686">
        <f t="shared" si="1112"/>
        <v>2</v>
      </c>
      <c r="G413" s="903">
        <f>F413</f>
        <v>2</v>
      </c>
      <c r="H413" s="686">
        <f>F413</f>
        <v>2</v>
      </c>
      <c r="I413" s="686">
        <f>H413</f>
        <v>2</v>
      </c>
      <c r="J413" s="686">
        <f t="shared" ref="J413:S413" si="1113">I413</f>
        <v>2</v>
      </c>
      <c r="K413" s="686">
        <f t="shared" si="1113"/>
        <v>2</v>
      </c>
      <c r="L413" s="686">
        <f t="shared" si="1113"/>
        <v>2</v>
      </c>
      <c r="M413" s="686">
        <f t="shared" si="1113"/>
        <v>2</v>
      </c>
      <c r="N413" s="686">
        <f t="shared" si="1113"/>
        <v>2</v>
      </c>
      <c r="O413" s="686">
        <f t="shared" si="1113"/>
        <v>2</v>
      </c>
      <c r="P413" s="686">
        <f t="shared" si="1113"/>
        <v>2</v>
      </c>
      <c r="Q413" s="686">
        <f t="shared" si="1113"/>
        <v>2</v>
      </c>
      <c r="R413" s="686">
        <f t="shared" si="1113"/>
        <v>2</v>
      </c>
      <c r="S413" s="686">
        <f t="shared" si="1113"/>
        <v>2</v>
      </c>
      <c r="T413" s="903">
        <f t="shared" ref="T413" si="1114">S413</f>
        <v>2</v>
      </c>
      <c r="U413" s="686">
        <f>S413</f>
        <v>2</v>
      </c>
      <c r="V413" s="686">
        <f t="shared" ref="V413:AG413" si="1115">U413</f>
        <v>2</v>
      </c>
      <c r="W413" s="686">
        <f t="shared" si="1115"/>
        <v>2</v>
      </c>
      <c r="X413" s="686">
        <f t="shared" si="1115"/>
        <v>2</v>
      </c>
      <c r="Y413" s="686">
        <f t="shared" si="1115"/>
        <v>2</v>
      </c>
      <c r="Z413" s="686">
        <f t="shared" si="1115"/>
        <v>2</v>
      </c>
      <c r="AA413" s="686">
        <f t="shared" si="1115"/>
        <v>2</v>
      </c>
      <c r="AB413" s="686">
        <f t="shared" si="1115"/>
        <v>2</v>
      </c>
      <c r="AC413" s="686">
        <f t="shared" si="1115"/>
        <v>2</v>
      </c>
      <c r="AD413" s="686">
        <f t="shared" si="1115"/>
        <v>2</v>
      </c>
      <c r="AE413" s="686">
        <f t="shared" si="1115"/>
        <v>2</v>
      </c>
      <c r="AF413" s="686">
        <f t="shared" si="1115"/>
        <v>2</v>
      </c>
      <c r="AG413" s="919">
        <f t="shared" si="1115"/>
        <v>2</v>
      </c>
      <c r="AH413" s="919">
        <f>AF413</f>
        <v>2</v>
      </c>
      <c r="AI413" s="919">
        <f t="shared" ref="AI413:AO413" si="1116">AH413</f>
        <v>2</v>
      </c>
      <c r="AJ413" s="919">
        <f t="shared" si="1116"/>
        <v>2</v>
      </c>
      <c r="AK413" s="919">
        <f t="shared" si="1116"/>
        <v>2</v>
      </c>
      <c r="AL413" s="919">
        <f t="shared" si="1116"/>
        <v>2</v>
      </c>
      <c r="AM413" s="919">
        <f t="shared" si="1116"/>
        <v>2</v>
      </c>
      <c r="AN413" s="919">
        <f t="shared" si="1116"/>
        <v>2</v>
      </c>
      <c r="AO413" s="998">
        <f t="shared" si="1116"/>
        <v>2</v>
      </c>
    </row>
    <row r="414" spans="1:42" s="18" customFormat="1" ht="13.15" customHeight="1" x14ac:dyDescent="0.2">
      <c r="A414" s="680" t="s">
        <v>255</v>
      </c>
      <c r="B414" s="680"/>
      <c r="C414" s="690">
        <f t="shared" ref="C414:F414" si="1117">C412*C413</f>
        <v>0</v>
      </c>
      <c r="D414" s="690">
        <f t="shared" si="1117"/>
        <v>0</v>
      </c>
      <c r="E414" s="690">
        <f t="shared" si="1117"/>
        <v>0</v>
      </c>
      <c r="F414" s="690">
        <f t="shared" si="1117"/>
        <v>0</v>
      </c>
      <c r="G414" s="902">
        <f>SUM(C414:F414)</f>
        <v>0</v>
      </c>
      <c r="H414" s="690">
        <f t="shared" ref="H414:M414" si="1118">H412*H413</f>
        <v>0</v>
      </c>
      <c r="I414" s="690">
        <f t="shared" si="1118"/>
        <v>0</v>
      </c>
      <c r="J414" s="690">
        <f t="shared" si="1118"/>
        <v>0</v>
      </c>
      <c r="K414" s="690">
        <f t="shared" si="1118"/>
        <v>0</v>
      </c>
      <c r="L414" s="690">
        <f t="shared" si="1118"/>
        <v>0</v>
      </c>
      <c r="M414" s="690">
        <f t="shared" si="1118"/>
        <v>0</v>
      </c>
      <c r="N414" s="690">
        <f t="shared" ref="N414:S414" si="1119">N412*N413</f>
        <v>0</v>
      </c>
      <c r="O414" s="690">
        <f t="shared" si="1119"/>
        <v>0</v>
      </c>
      <c r="P414" s="690">
        <f t="shared" si="1119"/>
        <v>0</v>
      </c>
      <c r="Q414" s="690">
        <f t="shared" si="1119"/>
        <v>0</v>
      </c>
      <c r="R414" s="690">
        <f t="shared" si="1119"/>
        <v>0</v>
      </c>
      <c r="S414" s="690">
        <f t="shared" si="1119"/>
        <v>0</v>
      </c>
      <c r="T414" s="918">
        <f>SUM(H414:S414)</f>
        <v>0</v>
      </c>
      <c r="U414" s="690">
        <f t="shared" ref="U414:AF414" si="1120">U412*U413</f>
        <v>0</v>
      </c>
      <c r="V414" s="690">
        <f t="shared" si="1120"/>
        <v>0</v>
      </c>
      <c r="W414" s="690">
        <f t="shared" si="1120"/>
        <v>0</v>
      </c>
      <c r="X414" s="690">
        <f t="shared" si="1120"/>
        <v>0</v>
      </c>
      <c r="Y414" s="690">
        <f t="shared" si="1120"/>
        <v>0</v>
      </c>
      <c r="Z414" s="690">
        <f t="shared" si="1120"/>
        <v>0</v>
      </c>
      <c r="AA414" s="690">
        <f t="shared" si="1120"/>
        <v>0</v>
      </c>
      <c r="AB414" s="690">
        <f t="shared" si="1120"/>
        <v>0</v>
      </c>
      <c r="AC414" s="690">
        <f t="shared" si="1120"/>
        <v>0</v>
      </c>
      <c r="AD414" s="690">
        <f t="shared" si="1120"/>
        <v>0</v>
      </c>
      <c r="AE414" s="690">
        <f t="shared" si="1120"/>
        <v>0</v>
      </c>
      <c r="AF414" s="690">
        <f t="shared" si="1120"/>
        <v>0</v>
      </c>
      <c r="AG414" s="918">
        <f>SUM(U414:AF414)</f>
        <v>0</v>
      </c>
      <c r="AH414" s="902">
        <f t="shared" ref="AH414:AO414" si="1121">AH412*AH413</f>
        <v>0</v>
      </c>
      <c r="AI414" s="902">
        <f t="shared" si="1121"/>
        <v>6.8796000000000008</v>
      </c>
      <c r="AJ414" s="902">
        <f t="shared" si="1121"/>
        <v>28.343952000000009</v>
      </c>
      <c r="AK414" s="902">
        <f t="shared" si="1121"/>
        <v>65.049369840000011</v>
      </c>
      <c r="AL414" s="902">
        <f t="shared" si="1121"/>
        <v>131.39972707680002</v>
      </c>
      <c r="AM414" s="902">
        <f t="shared" si="1121"/>
        <v>221.43287340720005</v>
      </c>
      <c r="AN414" s="902">
        <f t="shared" si="1121"/>
        <v>291.99939350400007</v>
      </c>
      <c r="AO414" s="996">
        <f t="shared" si="1121"/>
        <v>340.66595908800008</v>
      </c>
    </row>
    <row r="415" spans="1:42" s="34" customFormat="1" ht="12.4" customHeight="1" x14ac:dyDescent="0.2">
      <c r="A415" s="1"/>
      <c r="B415" s="1"/>
      <c r="C415" s="1"/>
      <c r="D415" s="1"/>
      <c r="E415" s="1"/>
      <c r="F415" s="1"/>
      <c r="G415" s="26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6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268"/>
      <c r="AH415" s="268"/>
      <c r="AI415" s="268"/>
      <c r="AJ415" s="268"/>
      <c r="AK415" s="268"/>
      <c r="AL415" s="268"/>
      <c r="AM415" s="268"/>
      <c r="AN415" s="268"/>
      <c r="AO415" s="999"/>
      <c r="AP415" s="18"/>
    </row>
    <row r="416" spans="1:42" s="18" customFormat="1" ht="13.15" customHeight="1" x14ac:dyDescent="0.2">
      <c r="A416" s="680" t="s">
        <v>253</v>
      </c>
      <c r="B416" s="680"/>
      <c r="C416" s="689">
        <v>0</v>
      </c>
      <c r="D416" s="689">
        <v>0</v>
      </c>
      <c r="E416" s="689">
        <v>0</v>
      </c>
      <c r="F416" s="689">
        <v>0</v>
      </c>
      <c r="G416" s="902">
        <f>F416</f>
        <v>0</v>
      </c>
      <c r="H416" s="689">
        <v>0</v>
      </c>
      <c r="I416" s="689">
        <v>0</v>
      </c>
      <c r="J416" s="689">
        <v>0</v>
      </c>
      <c r="K416" s="689">
        <v>0</v>
      </c>
      <c r="L416" s="689">
        <v>0</v>
      </c>
      <c r="M416" s="689">
        <v>0</v>
      </c>
      <c r="N416" s="689">
        <v>0</v>
      </c>
      <c r="O416" s="689">
        <v>0</v>
      </c>
      <c r="P416" s="689">
        <v>0</v>
      </c>
      <c r="Q416" s="689">
        <v>0</v>
      </c>
      <c r="R416" s="689">
        <v>0</v>
      </c>
      <c r="S416" s="689">
        <v>0</v>
      </c>
      <c r="T416" s="902">
        <f>S416</f>
        <v>0</v>
      </c>
      <c r="U416" s="689">
        <f>S416</f>
        <v>0</v>
      </c>
      <c r="V416" s="689">
        <f t="shared" ref="V416:AG416" si="1122">U416</f>
        <v>0</v>
      </c>
      <c r="W416" s="689">
        <f t="shared" si="1122"/>
        <v>0</v>
      </c>
      <c r="X416" s="689">
        <f t="shared" si="1122"/>
        <v>0</v>
      </c>
      <c r="Y416" s="689">
        <f t="shared" si="1122"/>
        <v>0</v>
      </c>
      <c r="Z416" s="689">
        <f t="shared" si="1122"/>
        <v>0</v>
      </c>
      <c r="AA416" s="689">
        <f t="shared" si="1122"/>
        <v>0</v>
      </c>
      <c r="AB416" s="689">
        <f t="shared" si="1122"/>
        <v>0</v>
      </c>
      <c r="AC416" s="689">
        <f t="shared" si="1122"/>
        <v>0</v>
      </c>
      <c r="AD416" s="689">
        <f t="shared" si="1122"/>
        <v>0</v>
      </c>
      <c r="AE416" s="689">
        <f t="shared" si="1122"/>
        <v>0</v>
      </c>
      <c r="AF416" s="689">
        <f t="shared" si="1122"/>
        <v>0</v>
      </c>
      <c r="AG416" s="902">
        <f t="shared" si="1122"/>
        <v>0</v>
      </c>
      <c r="AH416" s="899">
        <f>AF416</f>
        <v>0</v>
      </c>
      <c r="AI416" s="899">
        <f t="shared" ref="AI416:AO416" si="1123">AH416</f>
        <v>0</v>
      </c>
      <c r="AJ416" s="899">
        <f t="shared" si="1123"/>
        <v>0</v>
      </c>
      <c r="AK416" s="899">
        <f t="shared" si="1123"/>
        <v>0</v>
      </c>
      <c r="AL416" s="899">
        <f t="shared" si="1123"/>
        <v>0</v>
      </c>
      <c r="AM416" s="899">
        <f t="shared" si="1123"/>
        <v>0</v>
      </c>
      <c r="AN416" s="899">
        <f t="shared" si="1123"/>
        <v>0</v>
      </c>
      <c r="AO416" s="1000">
        <f t="shared" si="1123"/>
        <v>0</v>
      </c>
    </row>
    <row r="417" spans="1:42" s="18" customFormat="1" ht="13.15" customHeight="1" x14ac:dyDescent="0.2">
      <c r="A417" s="680" t="s">
        <v>252</v>
      </c>
      <c r="B417" s="680"/>
      <c r="C417" s="689">
        <v>0</v>
      </c>
      <c r="D417" s="689">
        <v>0</v>
      </c>
      <c r="E417" s="689">
        <v>0</v>
      </c>
      <c r="F417" s="689">
        <v>0</v>
      </c>
      <c r="G417" s="902">
        <f>SUM(C417:F417)</f>
        <v>0</v>
      </c>
      <c r="H417" s="689">
        <v>0</v>
      </c>
      <c r="I417" s="689">
        <v>0</v>
      </c>
      <c r="J417" s="689">
        <v>0</v>
      </c>
      <c r="K417" s="689">
        <v>0</v>
      </c>
      <c r="L417" s="689">
        <v>0</v>
      </c>
      <c r="M417" s="689">
        <v>0</v>
      </c>
      <c r="N417" s="689">
        <f t="shared" ref="N417:S417" si="1124">100/12</f>
        <v>8.3333333333333339</v>
      </c>
      <c r="O417" s="689">
        <f t="shared" si="1124"/>
        <v>8.3333333333333339</v>
      </c>
      <c r="P417" s="689">
        <f t="shared" si="1124"/>
        <v>8.3333333333333339</v>
      </c>
      <c r="Q417" s="689">
        <f t="shared" si="1124"/>
        <v>8.3333333333333339</v>
      </c>
      <c r="R417" s="689">
        <f t="shared" si="1124"/>
        <v>8.3333333333333339</v>
      </c>
      <c r="S417" s="689">
        <f t="shared" si="1124"/>
        <v>8.3333333333333339</v>
      </c>
      <c r="T417" s="917">
        <f>SUM(H417:S417)</f>
        <v>50.000000000000007</v>
      </c>
      <c r="U417" s="689">
        <f t="shared" ref="U417:AF417" si="1125">100/12</f>
        <v>8.3333333333333339</v>
      </c>
      <c r="V417" s="689">
        <f t="shared" si="1125"/>
        <v>8.3333333333333339</v>
      </c>
      <c r="W417" s="689">
        <f t="shared" si="1125"/>
        <v>8.3333333333333339</v>
      </c>
      <c r="X417" s="689">
        <f t="shared" si="1125"/>
        <v>8.3333333333333339</v>
      </c>
      <c r="Y417" s="689">
        <f t="shared" si="1125"/>
        <v>8.3333333333333339</v>
      </c>
      <c r="Z417" s="689">
        <f t="shared" si="1125"/>
        <v>8.3333333333333339</v>
      </c>
      <c r="AA417" s="689">
        <f t="shared" si="1125"/>
        <v>8.3333333333333339</v>
      </c>
      <c r="AB417" s="689">
        <f t="shared" si="1125"/>
        <v>8.3333333333333339</v>
      </c>
      <c r="AC417" s="689">
        <f t="shared" si="1125"/>
        <v>8.3333333333333339</v>
      </c>
      <c r="AD417" s="689">
        <f t="shared" si="1125"/>
        <v>8.3333333333333339</v>
      </c>
      <c r="AE417" s="689">
        <f t="shared" si="1125"/>
        <v>8.3333333333333339</v>
      </c>
      <c r="AF417" s="689">
        <f t="shared" si="1125"/>
        <v>8.3333333333333339</v>
      </c>
      <c r="AG417" s="917">
        <f>SUM(U417:AF417)</f>
        <v>99.999999999999986</v>
      </c>
      <c r="AH417" s="899">
        <v>100</v>
      </c>
      <c r="AI417" s="899">
        <v>100</v>
      </c>
      <c r="AJ417" s="899">
        <v>100</v>
      </c>
      <c r="AK417" s="899">
        <v>100</v>
      </c>
      <c r="AL417" s="899">
        <v>100</v>
      </c>
      <c r="AM417" s="899">
        <v>100</v>
      </c>
      <c r="AN417" s="899">
        <v>100</v>
      </c>
      <c r="AO417" s="1000">
        <v>100</v>
      </c>
    </row>
    <row r="418" spans="1:42" s="18" customFormat="1" ht="13.15" customHeight="1" x14ac:dyDescent="0.2">
      <c r="A418" s="680" t="s">
        <v>254</v>
      </c>
      <c r="B418" s="680"/>
      <c r="C418" s="690">
        <f t="shared" ref="C418:F418" si="1126">C416*C417</f>
        <v>0</v>
      </c>
      <c r="D418" s="690">
        <f t="shared" si="1126"/>
        <v>0</v>
      </c>
      <c r="E418" s="690">
        <f t="shared" si="1126"/>
        <v>0</v>
      </c>
      <c r="F418" s="690">
        <f t="shared" si="1126"/>
        <v>0</v>
      </c>
      <c r="G418" s="902">
        <f>SUM(C418:F418)</f>
        <v>0</v>
      </c>
      <c r="H418" s="690">
        <f t="shared" ref="H418:M418" si="1127">H416*H417</f>
        <v>0</v>
      </c>
      <c r="I418" s="690">
        <f t="shared" si="1127"/>
        <v>0</v>
      </c>
      <c r="J418" s="690">
        <f t="shared" si="1127"/>
        <v>0</v>
      </c>
      <c r="K418" s="690">
        <f t="shared" si="1127"/>
        <v>0</v>
      </c>
      <c r="L418" s="690">
        <f t="shared" si="1127"/>
        <v>0</v>
      </c>
      <c r="M418" s="690">
        <f t="shared" si="1127"/>
        <v>0</v>
      </c>
      <c r="N418" s="690">
        <f t="shared" ref="N418:S418" si="1128">N416*N417</f>
        <v>0</v>
      </c>
      <c r="O418" s="690">
        <f t="shared" si="1128"/>
        <v>0</v>
      </c>
      <c r="P418" s="690">
        <f t="shared" si="1128"/>
        <v>0</v>
      </c>
      <c r="Q418" s="690">
        <f t="shared" si="1128"/>
        <v>0</v>
      </c>
      <c r="R418" s="690">
        <f t="shared" si="1128"/>
        <v>0</v>
      </c>
      <c r="S418" s="690">
        <f t="shared" si="1128"/>
        <v>0</v>
      </c>
      <c r="T418" s="917">
        <f>SUM(H418:S418)</f>
        <v>0</v>
      </c>
      <c r="U418" s="690">
        <f t="shared" ref="U418:AF418" si="1129">U416*U417</f>
        <v>0</v>
      </c>
      <c r="V418" s="690">
        <f t="shared" si="1129"/>
        <v>0</v>
      </c>
      <c r="W418" s="690">
        <f t="shared" si="1129"/>
        <v>0</v>
      </c>
      <c r="X418" s="690">
        <f t="shared" si="1129"/>
        <v>0</v>
      </c>
      <c r="Y418" s="690">
        <f t="shared" si="1129"/>
        <v>0</v>
      </c>
      <c r="Z418" s="690">
        <f t="shared" si="1129"/>
        <v>0</v>
      </c>
      <c r="AA418" s="690">
        <f t="shared" si="1129"/>
        <v>0</v>
      </c>
      <c r="AB418" s="690">
        <f t="shared" si="1129"/>
        <v>0</v>
      </c>
      <c r="AC418" s="690">
        <f t="shared" si="1129"/>
        <v>0</v>
      </c>
      <c r="AD418" s="690">
        <f t="shared" si="1129"/>
        <v>0</v>
      </c>
      <c r="AE418" s="690">
        <f t="shared" si="1129"/>
        <v>0</v>
      </c>
      <c r="AF418" s="690">
        <f t="shared" si="1129"/>
        <v>0</v>
      </c>
      <c r="AG418" s="902">
        <f>SUM(U418:AF418)</f>
        <v>0</v>
      </c>
      <c r="AH418" s="902">
        <f t="shared" ref="AH418:AO418" si="1130">AH416*AH417</f>
        <v>0</v>
      </c>
      <c r="AI418" s="902">
        <f t="shared" si="1130"/>
        <v>0</v>
      </c>
      <c r="AJ418" s="902">
        <f t="shared" si="1130"/>
        <v>0</v>
      </c>
      <c r="AK418" s="902">
        <f t="shared" si="1130"/>
        <v>0</v>
      </c>
      <c r="AL418" s="902">
        <f t="shared" si="1130"/>
        <v>0</v>
      </c>
      <c r="AM418" s="902">
        <f t="shared" si="1130"/>
        <v>0</v>
      </c>
      <c r="AN418" s="902">
        <f t="shared" si="1130"/>
        <v>0</v>
      </c>
      <c r="AO418" s="996">
        <f t="shared" si="1130"/>
        <v>0</v>
      </c>
    </row>
    <row r="419" spans="1:42" s="18" customFormat="1" ht="13.15" customHeight="1" x14ac:dyDescent="0.2">
      <c r="A419" s="680" t="s">
        <v>249</v>
      </c>
      <c r="B419" s="680"/>
      <c r="C419" s="686">
        <f t="shared" ref="C419:F419" si="1131">C413</f>
        <v>2</v>
      </c>
      <c r="D419" s="686">
        <f t="shared" si="1131"/>
        <v>2</v>
      </c>
      <c r="E419" s="686">
        <f t="shared" si="1131"/>
        <v>2</v>
      </c>
      <c r="F419" s="686">
        <f t="shared" si="1131"/>
        <v>2</v>
      </c>
      <c r="G419" s="903">
        <f>F419</f>
        <v>2</v>
      </c>
      <c r="H419" s="686">
        <f t="shared" ref="H419:M419" si="1132">H413</f>
        <v>2</v>
      </c>
      <c r="I419" s="686">
        <f t="shared" si="1132"/>
        <v>2</v>
      </c>
      <c r="J419" s="686">
        <f t="shared" si="1132"/>
        <v>2</v>
      </c>
      <c r="K419" s="686">
        <f t="shared" si="1132"/>
        <v>2</v>
      </c>
      <c r="L419" s="686">
        <f t="shared" si="1132"/>
        <v>2</v>
      </c>
      <c r="M419" s="686">
        <f t="shared" si="1132"/>
        <v>2</v>
      </c>
      <c r="N419" s="686">
        <f t="shared" ref="N419:AO419" si="1133">N413</f>
        <v>2</v>
      </c>
      <c r="O419" s="686">
        <f t="shared" si="1133"/>
        <v>2</v>
      </c>
      <c r="P419" s="686">
        <f t="shared" si="1133"/>
        <v>2</v>
      </c>
      <c r="Q419" s="686">
        <f t="shared" si="1133"/>
        <v>2</v>
      </c>
      <c r="R419" s="686">
        <f t="shared" si="1133"/>
        <v>2</v>
      </c>
      <c r="S419" s="686">
        <f t="shared" si="1133"/>
        <v>2</v>
      </c>
      <c r="T419" s="919">
        <f t="shared" si="1133"/>
        <v>2</v>
      </c>
      <c r="U419" s="686">
        <f t="shared" si="1133"/>
        <v>2</v>
      </c>
      <c r="V419" s="686">
        <f t="shared" si="1133"/>
        <v>2</v>
      </c>
      <c r="W419" s="686">
        <f t="shared" si="1133"/>
        <v>2</v>
      </c>
      <c r="X419" s="686">
        <f t="shared" si="1133"/>
        <v>2</v>
      </c>
      <c r="Y419" s="686">
        <f t="shared" si="1133"/>
        <v>2</v>
      </c>
      <c r="Z419" s="686">
        <f t="shared" si="1133"/>
        <v>2</v>
      </c>
      <c r="AA419" s="686">
        <f t="shared" si="1133"/>
        <v>2</v>
      </c>
      <c r="AB419" s="686">
        <f t="shared" si="1133"/>
        <v>2</v>
      </c>
      <c r="AC419" s="686">
        <f t="shared" si="1133"/>
        <v>2</v>
      </c>
      <c r="AD419" s="686">
        <f t="shared" si="1133"/>
        <v>2</v>
      </c>
      <c r="AE419" s="686">
        <f t="shared" si="1133"/>
        <v>2</v>
      </c>
      <c r="AF419" s="686">
        <f t="shared" si="1133"/>
        <v>2</v>
      </c>
      <c r="AG419" s="919">
        <f t="shared" si="1133"/>
        <v>2</v>
      </c>
      <c r="AH419" s="919">
        <f t="shared" si="1133"/>
        <v>2</v>
      </c>
      <c r="AI419" s="919">
        <f t="shared" si="1133"/>
        <v>2</v>
      </c>
      <c r="AJ419" s="919">
        <f t="shared" si="1133"/>
        <v>2</v>
      </c>
      <c r="AK419" s="919">
        <f t="shared" si="1133"/>
        <v>2</v>
      </c>
      <c r="AL419" s="919">
        <f t="shared" si="1133"/>
        <v>2</v>
      </c>
      <c r="AM419" s="919">
        <f t="shared" si="1133"/>
        <v>2</v>
      </c>
      <c r="AN419" s="919">
        <f t="shared" si="1133"/>
        <v>2</v>
      </c>
      <c r="AO419" s="998">
        <f t="shared" si="1133"/>
        <v>2</v>
      </c>
    </row>
    <row r="420" spans="1:42" s="18" customFormat="1" ht="13.15" customHeight="1" x14ac:dyDescent="0.2">
      <c r="A420" s="680" t="s">
        <v>255</v>
      </c>
      <c r="B420" s="680"/>
      <c r="C420" s="690">
        <f t="shared" ref="C420:F420" si="1134">C418*C419</f>
        <v>0</v>
      </c>
      <c r="D420" s="690">
        <f t="shared" si="1134"/>
        <v>0</v>
      </c>
      <c r="E420" s="690">
        <f t="shared" si="1134"/>
        <v>0</v>
      </c>
      <c r="F420" s="690">
        <f t="shared" si="1134"/>
        <v>0</v>
      </c>
      <c r="G420" s="902">
        <f>SUM(C420:F420)</f>
        <v>0</v>
      </c>
      <c r="H420" s="690">
        <f t="shared" ref="H420:M420" si="1135">H418*H419</f>
        <v>0</v>
      </c>
      <c r="I420" s="690">
        <f t="shared" si="1135"/>
        <v>0</v>
      </c>
      <c r="J420" s="690">
        <f t="shared" si="1135"/>
        <v>0</v>
      </c>
      <c r="K420" s="690">
        <f t="shared" si="1135"/>
        <v>0</v>
      </c>
      <c r="L420" s="690">
        <f t="shared" si="1135"/>
        <v>0</v>
      </c>
      <c r="M420" s="690">
        <f t="shared" si="1135"/>
        <v>0</v>
      </c>
      <c r="N420" s="690">
        <f t="shared" ref="N420:S420" si="1136">N418*N419</f>
        <v>0</v>
      </c>
      <c r="O420" s="690">
        <f t="shared" si="1136"/>
        <v>0</v>
      </c>
      <c r="P420" s="690">
        <f t="shared" si="1136"/>
        <v>0</v>
      </c>
      <c r="Q420" s="690">
        <f t="shared" si="1136"/>
        <v>0</v>
      </c>
      <c r="R420" s="690">
        <f t="shared" si="1136"/>
        <v>0</v>
      </c>
      <c r="S420" s="690">
        <f t="shared" si="1136"/>
        <v>0</v>
      </c>
      <c r="T420" s="918">
        <f>SUM(H420:S420)</f>
        <v>0</v>
      </c>
      <c r="U420" s="690">
        <f t="shared" ref="U420:AF420" si="1137">U418*U419</f>
        <v>0</v>
      </c>
      <c r="V420" s="690">
        <f t="shared" si="1137"/>
        <v>0</v>
      </c>
      <c r="W420" s="690">
        <f t="shared" si="1137"/>
        <v>0</v>
      </c>
      <c r="X420" s="690">
        <f t="shared" si="1137"/>
        <v>0</v>
      </c>
      <c r="Y420" s="690">
        <f t="shared" si="1137"/>
        <v>0</v>
      </c>
      <c r="Z420" s="690">
        <f t="shared" si="1137"/>
        <v>0</v>
      </c>
      <c r="AA420" s="690">
        <f t="shared" si="1137"/>
        <v>0</v>
      </c>
      <c r="AB420" s="690">
        <f t="shared" si="1137"/>
        <v>0</v>
      </c>
      <c r="AC420" s="690">
        <f t="shared" si="1137"/>
        <v>0</v>
      </c>
      <c r="AD420" s="690">
        <f t="shared" si="1137"/>
        <v>0</v>
      </c>
      <c r="AE420" s="690">
        <f t="shared" si="1137"/>
        <v>0</v>
      </c>
      <c r="AF420" s="690">
        <f t="shared" si="1137"/>
        <v>0</v>
      </c>
      <c r="AG420" s="918">
        <f>SUM(U420:AF420)</f>
        <v>0</v>
      </c>
      <c r="AH420" s="902">
        <f t="shared" ref="AH420:AO420" si="1138">AH418*AH419</f>
        <v>0</v>
      </c>
      <c r="AI420" s="902">
        <f t="shared" si="1138"/>
        <v>0</v>
      </c>
      <c r="AJ420" s="902">
        <f t="shared" si="1138"/>
        <v>0</v>
      </c>
      <c r="AK420" s="902">
        <f t="shared" si="1138"/>
        <v>0</v>
      </c>
      <c r="AL420" s="902">
        <f t="shared" si="1138"/>
        <v>0</v>
      </c>
      <c r="AM420" s="902">
        <f t="shared" si="1138"/>
        <v>0</v>
      </c>
      <c r="AN420" s="902">
        <f t="shared" si="1138"/>
        <v>0</v>
      </c>
      <c r="AO420" s="996">
        <f t="shared" si="1138"/>
        <v>0</v>
      </c>
    </row>
    <row r="421" spans="1:42" s="18" customFormat="1" ht="13.15" customHeight="1" x14ac:dyDescent="0.2">
      <c r="A421" s="674"/>
      <c r="B421" s="674"/>
      <c r="C421" s="682"/>
      <c r="D421" s="682"/>
      <c r="E421" s="682"/>
      <c r="F421" s="682"/>
      <c r="G421" s="900"/>
      <c r="H421" s="682"/>
      <c r="I421" s="682"/>
      <c r="J421" s="682"/>
      <c r="K421" s="682"/>
      <c r="L421" s="682"/>
      <c r="M421" s="682"/>
      <c r="N421" s="682"/>
      <c r="O421" s="682"/>
      <c r="P421" s="682"/>
      <c r="Q421" s="682"/>
      <c r="R421" s="682"/>
      <c r="S421" s="682"/>
      <c r="T421" s="917"/>
      <c r="U421" s="682"/>
      <c r="V421" s="682"/>
      <c r="W421" s="682"/>
      <c r="X421" s="682"/>
      <c r="Y421" s="682"/>
      <c r="Z421" s="682"/>
      <c r="AA421" s="682"/>
      <c r="AB421" s="682"/>
      <c r="AC421" s="682"/>
      <c r="AD421" s="682"/>
      <c r="AE421" s="682"/>
      <c r="AF421" s="682"/>
      <c r="AG421" s="917"/>
      <c r="AH421" s="917"/>
      <c r="AI421" s="917"/>
      <c r="AJ421" s="917"/>
      <c r="AK421" s="924"/>
      <c r="AL421" s="924"/>
      <c r="AM421" s="924"/>
      <c r="AN421" s="924"/>
      <c r="AO421" s="995"/>
    </row>
    <row r="422" spans="1:42" s="18" customFormat="1" ht="13.15" customHeight="1" x14ac:dyDescent="0.2">
      <c r="A422" s="680" t="s">
        <v>256</v>
      </c>
      <c r="B422" s="680"/>
      <c r="C422" s="689">
        <v>0</v>
      </c>
      <c r="D422" s="689">
        <v>0</v>
      </c>
      <c r="E422" s="689">
        <v>0</v>
      </c>
      <c r="F422" s="689">
        <v>0</v>
      </c>
      <c r="G422" s="902">
        <f>F422</f>
        <v>0</v>
      </c>
      <c r="H422" s="689">
        <v>0</v>
      </c>
      <c r="I422" s="689">
        <v>0</v>
      </c>
      <c r="J422" s="689">
        <v>0</v>
      </c>
      <c r="K422" s="689">
        <v>0</v>
      </c>
      <c r="L422" s="689">
        <v>0</v>
      </c>
      <c r="M422" s="689">
        <v>0</v>
      </c>
      <c r="N422" s="689">
        <v>0</v>
      </c>
      <c r="O422" s="689">
        <v>0</v>
      </c>
      <c r="P422" s="689">
        <v>0</v>
      </c>
      <c r="Q422" s="689">
        <v>0</v>
      </c>
      <c r="R422" s="689">
        <v>0</v>
      </c>
      <c r="S422" s="689">
        <v>0</v>
      </c>
      <c r="T422" s="902">
        <f>S422</f>
        <v>0</v>
      </c>
      <c r="U422" s="689">
        <f>S422</f>
        <v>0</v>
      </c>
      <c r="V422" s="689">
        <f t="shared" ref="V422:AG422" si="1139">U422</f>
        <v>0</v>
      </c>
      <c r="W422" s="689">
        <f t="shared" si="1139"/>
        <v>0</v>
      </c>
      <c r="X422" s="689">
        <f t="shared" si="1139"/>
        <v>0</v>
      </c>
      <c r="Y422" s="689">
        <f t="shared" si="1139"/>
        <v>0</v>
      </c>
      <c r="Z422" s="689">
        <f t="shared" si="1139"/>
        <v>0</v>
      </c>
      <c r="AA422" s="689">
        <f t="shared" si="1139"/>
        <v>0</v>
      </c>
      <c r="AB422" s="689">
        <f t="shared" si="1139"/>
        <v>0</v>
      </c>
      <c r="AC422" s="689">
        <f t="shared" si="1139"/>
        <v>0</v>
      </c>
      <c r="AD422" s="689">
        <f t="shared" si="1139"/>
        <v>0</v>
      </c>
      <c r="AE422" s="689">
        <f t="shared" si="1139"/>
        <v>0</v>
      </c>
      <c r="AF422" s="689">
        <f t="shared" si="1139"/>
        <v>0</v>
      </c>
      <c r="AG422" s="902">
        <f t="shared" si="1139"/>
        <v>0</v>
      </c>
      <c r="AH422" s="899">
        <f>AF422</f>
        <v>0</v>
      </c>
      <c r="AI422" s="899">
        <f t="shared" ref="AI422:AO422" si="1140">AH422</f>
        <v>0</v>
      </c>
      <c r="AJ422" s="899">
        <f t="shared" si="1140"/>
        <v>0</v>
      </c>
      <c r="AK422" s="899">
        <f t="shared" si="1140"/>
        <v>0</v>
      </c>
      <c r="AL422" s="899">
        <f t="shared" si="1140"/>
        <v>0</v>
      </c>
      <c r="AM422" s="899">
        <f t="shared" si="1140"/>
        <v>0</v>
      </c>
      <c r="AN422" s="899">
        <f t="shared" si="1140"/>
        <v>0</v>
      </c>
      <c r="AO422" s="1000">
        <f t="shared" si="1140"/>
        <v>0</v>
      </c>
    </row>
    <row r="423" spans="1:42" s="18" customFormat="1" ht="13.15" customHeight="1" x14ac:dyDescent="0.2">
      <c r="A423" s="680" t="s">
        <v>252</v>
      </c>
      <c r="B423" s="680"/>
      <c r="C423" s="689">
        <v>0</v>
      </c>
      <c r="D423" s="689">
        <v>0</v>
      </c>
      <c r="E423" s="689">
        <v>0</v>
      </c>
      <c r="F423" s="689">
        <v>0</v>
      </c>
      <c r="G423" s="902">
        <f>SUM(C423:F423)</f>
        <v>0</v>
      </c>
      <c r="H423" s="689">
        <v>0</v>
      </c>
      <c r="I423" s="689">
        <v>0</v>
      </c>
      <c r="J423" s="689">
        <v>0</v>
      </c>
      <c r="K423" s="689">
        <v>0</v>
      </c>
      <c r="L423" s="689">
        <v>0</v>
      </c>
      <c r="M423" s="689">
        <v>0</v>
      </c>
      <c r="N423" s="689">
        <f t="shared" ref="N423:S423" si="1141">300/12</f>
        <v>25</v>
      </c>
      <c r="O423" s="689">
        <f t="shared" si="1141"/>
        <v>25</v>
      </c>
      <c r="P423" s="689">
        <f t="shared" si="1141"/>
        <v>25</v>
      </c>
      <c r="Q423" s="689">
        <f t="shared" si="1141"/>
        <v>25</v>
      </c>
      <c r="R423" s="689">
        <f t="shared" si="1141"/>
        <v>25</v>
      </c>
      <c r="S423" s="689">
        <f t="shared" si="1141"/>
        <v>25</v>
      </c>
      <c r="T423" s="917">
        <f>SUM(H423:S423)</f>
        <v>150</v>
      </c>
      <c r="U423" s="689">
        <f>300/12</f>
        <v>25</v>
      </c>
      <c r="V423" s="689">
        <f t="shared" ref="V423:AF423" si="1142">300/12</f>
        <v>25</v>
      </c>
      <c r="W423" s="689">
        <f t="shared" si="1142"/>
        <v>25</v>
      </c>
      <c r="X423" s="689">
        <f t="shared" si="1142"/>
        <v>25</v>
      </c>
      <c r="Y423" s="689">
        <f t="shared" si="1142"/>
        <v>25</v>
      </c>
      <c r="Z423" s="689">
        <f t="shared" si="1142"/>
        <v>25</v>
      </c>
      <c r="AA423" s="689">
        <f t="shared" si="1142"/>
        <v>25</v>
      </c>
      <c r="AB423" s="689">
        <f t="shared" si="1142"/>
        <v>25</v>
      </c>
      <c r="AC423" s="689">
        <f t="shared" si="1142"/>
        <v>25</v>
      </c>
      <c r="AD423" s="689">
        <f t="shared" si="1142"/>
        <v>25</v>
      </c>
      <c r="AE423" s="689">
        <f t="shared" si="1142"/>
        <v>25</v>
      </c>
      <c r="AF423" s="689">
        <f t="shared" si="1142"/>
        <v>25</v>
      </c>
      <c r="AG423" s="917">
        <f>SUM(U423:AF423)</f>
        <v>300</v>
      </c>
      <c r="AH423" s="899">
        <v>300</v>
      </c>
      <c r="AI423" s="899">
        <v>300</v>
      </c>
      <c r="AJ423" s="899">
        <v>300</v>
      </c>
      <c r="AK423" s="899">
        <v>300</v>
      </c>
      <c r="AL423" s="899">
        <v>300</v>
      </c>
      <c r="AM423" s="899">
        <v>300</v>
      </c>
      <c r="AN423" s="899">
        <v>300</v>
      </c>
      <c r="AO423" s="1000">
        <v>300</v>
      </c>
    </row>
    <row r="424" spans="1:42" s="18" customFormat="1" ht="13.15" customHeight="1" x14ac:dyDescent="0.2">
      <c r="A424" s="680" t="s">
        <v>254</v>
      </c>
      <c r="B424" s="680"/>
      <c r="C424" s="690">
        <f t="shared" ref="C424:F424" si="1143">C422*C423</f>
        <v>0</v>
      </c>
      <c r="D424" s="690">
        <f t="shared" si="1143"/>
        <v>0</v>
      </c>
      <c r="E424" s="690">
        <f t="shared" si="1143"/>
        <v>0</v>
      </c>
      <c r="F424" s="690">
        <f t="shared" si="1143"/>
        <v>0</v>
      </c>
      <c r="G424" s="902">
        <f>SUM(C424:F424)</f>
        <v>0</v>
      </c>
      <c r="H424" s="690">
        <f t="shared" ref="H424:M424" si="1144">H422*H423</f>
        <v>0</v>
      </c>
      <c r="I424" s="690">
        <f t="shared" si="1144"/>
        <v>0</v>
      </c>
      <c r="J424" s="690">
        <f t="shared" si="1144"/>
        <v>0</v>
      </c>
      <c r="K424" s="690">
        <f t="shared" si="1144"/>
        <v>0</v>
      </c>
      <c r="L424" s="690">
        <f t="shared" si="1144"/>
        <v>0</v>
      </c>
      <c r="M424" s="690">
        <f t="shared" si="1144"/>
        <v>0</v>
      </c>
      <c r="N424" s="690">
        <f t="shared" ref="N424:S424" si="1145">N422*N423</f>
        <v>0</v>
      </c>
      <c r="O424" s="690">
        <f t="shared" si="1145"/>
        <v>0</v>
      </c>
      <c r="P424" s="690">
        <f t="shared" si="1145"/>
        <v>0</v>
      </c>
      <c r="Q424" s="690">
        <f t="shared" si="1145"/>
        <v>0</v>
      </c>
      <c r="R424" s="690">
        <f t="shared" si="1145"/>
        <v>0</v>
      </c>
      <c r="S424" s="690">
        <f t="shared" si="1145"/>
        <v>0</v>
      </c>
      <c r="T424" s="917">
        <f>SUM(H424:S424)</f>
        <v>0</v>
      </c>
      <c r="U424" s="690">
        <f t="shared" ref="U424:AF424" si="1146">U422*U423</f>
        <v>0</v>
      </c>
      <c r="V424" s="690">
        <f t="shared" si="1146"/>
        <v>0</v>
      </c>
      <c r="W424" s="690">
        <f t="shared" si="1146"/>
        <v>0</v>
      </c>
      <c r="X424" s="690">
        <f t="shared" si="1146"/>
        <v>0</v>
      </c>
      <c r="Y424" s="690">
        <f t="shared" si="1146"/>
        <v>0</v>
      </c>
      <c r="Z424" s="690">
        <f t="shared" si="1146"/>
        <v>0</v>
      </c>
      <c r="AA424" s="690">
        <f t="shared" si="1146"/>
        <v>0</v>
      </c>
      <c r="AB424" s="690">
        <f t="shared" si="1146"/>
        <v>0</v>
      </c>
      <c r="AC424" s="690">
        <f t="shared" si="1146"/>
        <v>0</v>
      </c>
      <c r="AD424" s="690">
        <f t="shared" si="1146"/>
        <v>0</v>
      </c>
      <c r="AE424" s="690">
        <f t="shared" si="1146"/>
        <v>0</v>
      </c>
      <c r="AF424" s="690">
        <f t="shared" si="1146"/>
        <v>0</v>
      </c>
      <c r="AG424" s="917">
        <f>SUM(U424:AF424)</f>
        <v>0</v>
      </c>
      <c r="AH424" s="902">
        <f t="shared" ref="AH424:AO424" si="1147">AH422*AH423</f>
        <v>0</v>
      </c>
      <c r="AI424" s="902">
        <f t="shared" si="1147"/>
        <v>0</v>
      </c>
      <c r="AJ424" s="902">
        <f t="shared" si="1147"/>
        <v>0</v>
      </c>
      <c r="AK424" s="902">
        <f t="shared" si="1147"/>
        <v>0</v>
      </c>
      <c r="AL424" s="902">
        <f t="shared" si="1147"/>
        <v>0</v>
      </c>
      <c r="AM424" s="902">
        <f t="shared" si="1147"/>
        <v>0</v>
      </c>
      <c r="AN424" s="902">
        <f t="shared" si="1147"/>
        <v>0</v>
      </c>
      <c r="AO424" s="996">
        <f t="shared" si="1147"/>
        <v>0</v>
      </c>
    </row>
    <row r="425" spans="1:42" s="18" customFormat="1" ht="13.15" customHeight="1" x14ac:dyDescent="0.2">
      <c r="A425" s="680" t="s">
        <v>249</v>
      </c>
      <c r="B425" s="680"/>
      <c r="C425" s="686">
        <f t="shared" ref="C425:F425" si="1148">C413</f>
        <v>2</v>
      </c>
      <c r="D425" s="686">
        <f t="shared" si="1148"/>
        <v>2</v>
      </c>
      <c r="E425" s="686">
        <f t="shared" si="1148"/>
        <v>2</v>
      </c>
      <c r="F425" s="686">
        <f t="shared" si="1148"/>
        <v>2</v>
      </c>
      <c r="G425" s="903">
        <f>F425</f>
        <v>2</v>
      </c>
      <c r="H425" s="686">
        <f t="shared" ref="H425:M425" si="1149">H413</f>
        <v>2</v>
      </c>
      <c r="I425" s="686">
        <f t="shared" si="1149"/>
        <v>2</v>
      </c>
      <c r="J425" s="686">
        <f t="shared" si="1149"/>
        <v>2</v>
      </c>
      <c r="K425" s="686">
        <f t="shared" si="1149"/>
        <v>2</v>
      </c>
      <c r="L425" s="686">
        <f t="shared" si="1149"/>
        <v>2</v>
      </c>
      <c r="M425" s="686">
        <f t="shared" si="1149"/>
        <v>2</v>
      </c>
      <c r="N425" s="686">
        <f t="shared" ref="N425:AO425" si="1150">N413</f>
        <v>2</v>
      </c>
      <c r="O425" s="686">
        <f t="shared" si="1150"/>
        <v>2</v>
      </c>
      <c r="P425" s="686">
        <f t="shared" si="1150"/>
        <v>2</v>
      </c>
      <c r="Q425" s="686">
        <f t="shared" si="1150"/>
        <v>2</v>
      </c>
      <c r="R425" s="686">
        <f t="shared" si="1150"/>
        <v>2</v>
      </c>
      <c r="S425" s="686">
        <f t="shared" si="1150"/>
        <v>2</v>
      </c>
      <c r="T425" s="919">
        <f t="shared" si="1150"/>
        <v>2</v>
      </c>
      <c r="U425" s="686">
        <f t="shared" si="1150"/>
        <v>2</v>
      </c>
      <c r="V425" s="686">
        <f t="shared" si="1150"/>
        <v>2</v>
      </c>
      <c r="W425" s="686">
        <f t="shared" si="1150"/>
        <v>2</v>
      </c>
      <c r="X425" s="686">
        <f t="shared" si="1150"/>
        <v>2</v>
      </c>
      <c r="Y425" s="686">
        <f t="shared" si="1150"/>
        <v>2</v>
      </c>
      <c r="Z425" s="686">
        <f t="shared" si="1150"/>
        <v>2</v>
      </c>
      <c r="AA425" s="686">
        <f t="shared" si="1150"/>
        <v>2</v>
      </c>
      <c r="AB425" s="686">
        <f t="shared" si="1150"/>
        <v>2</v>
      </c>
      <c r="AC425" s="686">
        <f t="shared" si="1150"/>
        <v>2</v>
      </c>
      <c r="AD425" s="686">
        <f t="shared" si="1150"/>
        <v>2</v>
      </c>
      <c r="AE425" s="686">
        <f t="shared" si="1150"/>
        <v>2</v>
      </c>
      <c r="AF425" s="686">
        <f t="shared" si="1150"/>
        <v>2</v>
      </c>
      <c r="AG425" s="919">
        <f t="shared" si="1150"/>
        <v>2</v>
      </c>
      <c r="AH425" s="919">
        <f t="shared" si="1150"/>
        <v>2</v>
      </c>
      <c r="AI425" s="919">
        <f t="shared" si="1150"/>
        <v>2</v>
      </c>
      <c r="AJ425" s="919">
        <f t="shared" si="1150"/>
        <v>2</v>
      </c>
      <c r="AK425" s="919">
        <f t="shared" si="1150"/>
        <v>2</v>
      </c>
      <c r="AL425" s="919">
        <f t="shared" si="1150"/>
        <v>2</v>
      </c>
      <c r="AM425" s="919">
        <f t="shared" si="1150"/>
        <v>2</v>
      </c>
      <c r="AN425" s="919">
        <f t="shared" si="1150"/>
        <v>2</v>
      </c>
      <c r="AO425" s="998">
        <f t="shared" si="1150"/>
        <v>2</v>
      </c>
    </row>
    <row r="426" spans="1:42" s="18" customFormat="1" ht="13.15" customHeight="1" x14ac:dyDescent="0.2">
      <c r="A426" s="680" t="s">
        <v>255</v>
      </c>
      <c r="B426" s="680"/>
      <c r="C426" s="690">
        <f t="shared" ref="C426:F426" si="1151">C424*C425</f>
        <v>0</v>
      </c>
      <c r="D426" s="690">
        <f t="shared" si="1151"/>
        <v>0</v>
      </c>
      <c r="E426" s="690">
        <f t="shared" si="1151"/>
        <v>0</v>
      </c>
      <c r="F426" s="690">
        <f t="shared" si="1151"/>
        <v>0</v>
      </c>
      <c r="G426" s="902">
        <f>SUM(C426:F426)</f>
        <v>0</v>
      </c>
      <c r="H426" s="690">
        <f t="shared" ref="H426:M426" si="1152">H424*H425</f>
        <v>0</v>
      </c>
      <c r="I426" s="690">
        <f t="shared" si="1152"/>
        <v>0</v>
      </c>
      <c r="J426" s="690">
        <f t="shared" si="1152"/>
        <v>0</v>
      </c>
      <c r="K426" s="690">
        <f t="shared" si="1152"/>
        <v>0</v>
      </c>
      <c r="L426" s="690">
        <f t="shared" si="1152"/>
        <v>0</v>
      </c>
      <c r="M426" s="690">
        <f t="shared" si="1152"/>
        <v>0</v>
      </c>
      <c r="N426" s="690">
        <f t="shared" ref="N426:S426" si="1153">N424*N425</f>
        <v>0</v>
      </c>
      <c r="O426" s="690">
        <f t="shared" si="1153"/>
        <v>0</v>
      </c>
      <c r="P426" s="690">
        <f t="shared" si="1153"/>
        <v>0</v>
      </c>
      <c r="Q426" s="690">
        <f t="shared" si="1153"/>
        <v>0</v>
      </c>
      <c r="R426" s="690">
        <f t="shared" si="1153"/>
        <v>0</v>
      </c>
      <c r="S426" s="690">
        <f t="shared" si="1153"/>
        <v>0</v>
      </c>
      <c r="T426" s="918">
        <f>SUM(H426:S426)</f>
        <v>0</v>
      </c>
      <c r="U426" s="690">
        <f t="shared" ref="U426:AF426" si="1154">U424*U425</f>
        <v>0</v>
      </c>
      <c r="V426" s="690">
        <f t="shared" si="1154"/>
        <v>0</v>
      </c>
      <c r="W426" s="690">
        <f t="shared" si="1154"/>
        <v>0</v>
      </c>
      <c r="X426" s="690">
        <f t="shared" si="1154"/>
        <v>0</v>
      </c>
      <c r="Y426" s="690">
        <f t="shared" si="1154"/>
        <v>0</v>
      </c>
      <c r="Z426" s="690">
        <f t="shared" si="1154"/>
        <v>0</v>
      </c>
      <c r="AA426" s="690">
        <f t="shared" si="1154"/>
        <v>0</v>
      </c>
      <c r="AB426" s="690">
        <f t="shared" si="1154"/>
        <v>0</v>
      </c>
      <c r="AC426" s="690">
        <f t="shared" si="1154"/>
        <v>0</v>
      </c>
      <c r="AD426" s="690">
        <f t="shared" si="1154"/>
        <v>0</v>
      </c>
      <c r="AE426" s="690">
        <f t="shared" si="1154"/>
        <v>0</v>
      </c>
      <c r="AF426" s="690">
        <f t="shared" si="1154"/>
        <v>0</v>
      </c>
      <c r="AG426" s="918">
        <f>SUM(U426:AF426)</f>
        <v>0</v>
      </c>
      <c r="AH426" s="902">
        <f t="shared" ref="AH426:AO426" si="1155">AH424*AH425</f>
        <v>0</v>
      </c>
      <c r="AI426" s="902">
        <f t="shared" si="1155"/>
        <v>0</v>
      </c>
      <c r="AJ426" s="902">
        <f t="shared" si="1155"/>
        <v>0</v>
      </c>
      <c r="AK426" s="902">
        <f t="shared" si="1155"/>
        <v>0</v>
      </c>
      <c r="AL426" s="902">
        <f t="shared" si="1155"/>
        <v>0</v>
      </c>
      <c r="AM426" s="902">
        <f t="shared" si="1155"/>
        <v>0</v>
      </c>
      <c r="AN426" s="902">
        <f t="shared" si="1155"/>
        <v>0</v>
      </c>
      <c r="AO426" s="996">
        <f t="shared" si="1155"/>
        <v>0</v>
      </c>
    </row>
    <row r="427" spans="1:42" s="18" customFormat="1" ht="13.15" customHeight="1" x14ac:dyDescent="0.2">
      <c r="A427" s="680"/>
      <c r="B427" s="680"/>
      <c r="C427" s="682"/>
      <c r="D427" s="682"/>
      <c r="E427" s="682"/>
      <c r="F427" s="682"/>
      <c r="G427" s="900"/>
      <c r="H427" s="682"/>
      <c r="I427" s="682"/>
      <c r="J427" s="682"/>
      <c r="K427" s="682"/>
      <c r="L427" s="682"/>
      <c r="M427" s="682"/>
      <c r="N427" s="682"/>
      <c r="O427" s="682"/>
      <c r="P427" s="682"/>
      <c r="Q427" s="682"/>
      <c r="R427" s="682"/>
      <c r="S427" s="682"/>
      <c r="T427" s="917"/>
      <c r="U427" s="682"/>
      <c r="V427" s="682"/>
      <c r="W427" s="682"/>
      <c r="X427" s="682"/>
      <c r="Y427" s="682"/>
      <c r="Z427" s="682"/>
      <c r="AA427" s="682"/>
      <c r="AB427" s="682"/>
      <c r="AC427" s="682"/>
      <c r="AD427" s="682"/>
      <c r="AE427" s="682"/>
      <c r="AF427" s="682"/>
      <c r="AG427" s="917"/>
      <c r="AH427" s="917"/>
      <c r="AI427" s="917"/>
      <c r="AJ427" s="917"/>
      <c r="AK427" s="924"/>
      <c r="AL427" s="924"/>
      <c r="AM427" s="924"/>
      <c r="AN427" s="924"/>
      <c r="AO427" s="995"/>
    </row>
    <row r="428" spans="1:42" s="277" customFormat="1" ht="13.15" customHeight="1" x14ac:dyDescent="0.2">
      <c r="A428" s="676" t="s">
        <v>257</v>
      </c>
      <c r="B428" s="676"/>
      <c r="C428" s="694">
        <f t="shared" ref="C428:F428" si="1156">C414+C420+C426</f>
        <v>0</v>
      </c>
      <c r="D428" s="694">
        <f t="shared" si="1156"/>
        <v>0</v>
      </c>
      <c r="E428" s="694">
        <f t="shared" si="1156"/>
        <v>0</v>
      </c>
      <c r="F428" s="694">
        <f t="shared" si="1156"/>
        <v>0</v>
      </c>
      <c r="G428" s="904">
        <f>SUM(C428:F428)</f>
        <v>0</v>
      </c>
      <c r="H428" s="694">
        <f t="shared" ref="H428:M428" si="1157">H414+H420+H426</f>
        <v>0</v>
      </c>
      <c r="I428" s="694">
        <f t="shared" si="1157"/>
        <v>0</v>
      </c>
      <c r="J428" s="694">
        <f t="shared" si="1157"/>
        <v>0</v>
      </c>
      <c r="K428" s="694">
        <f t="shared" si="1157"/>
        <v>0</v>
      </c>
      <c r="L428" s="694">
        <f t="shared" si="1157"/>
        <v>0</v>
      </c>
      <c r="M428" s="694">
        <f t="shared" si="1157"/>
        <v>0</v>
      </c>
      <c r="N428" s="694">
        <f t="shared" ref="N428:S428" si="1158">N414+N420+N426</f>
        <v>0</v>
      </c>
      <c r="O428" s="694">
        <f t="shared" si="1158"/>
        <v>0</v>
      </c>
      <c r="P428" s="694">
        <f t="shared" si="1158"/>
        <v>0</v>
      </c>
      <c r="Q428" s="694">
        <f t="shared" si="1158"/>
        <v>0</v>
      </c>
      <c r="R428" s="694">
        <f t="shared" si="1158"/>
        <v>0</v>
      </c>
      <c r="S428" s="694">
        <f t="shared" si="1158"/>
        <v>0</v>
      </c>
      <c r="T428" s="915">
        <f>SUM(H428:S428)</f>
        <v>0</v>
      </c>
      <c r="U428" s="694">
        <f t="shared" ref="U428:AF428" si="1159">U414+U420+U426</f>
        <v>0</v>
      </c>
      <c r="V428" s="694">
        <f t="shared" si="1159"/>
        <v>0</v>
      </c>
      <c r="W428" s="694">
        <f t="shared" si="1159"/>
        <v>0</v>
      </c>
      <c r="X428" s="694">
        <f t="shared" si="1159"/>
        <v>0</v>
      </c>
      <c r="Y428" s="694">
        <f t="shared" si="1159"/>
        <v>0</v>
      </c>
      <c r="Z428" s="694">
        <f t="shared" si="1159"/>
        <v>0</v>
      </c>
      <c r="AA428" s="694">
        <f t="shared" si="1159"/>
        <v>0</v>
      </c>
      <c r="AB428" s="694">
        <f t="shared" si="1159"/>
        <v>0</v>
      </c>
      <c r="AC428" s="694">
        <f t="shared" si="1159"/>
        <v>0</v>
      </c>
      <c r="AD428" s="694">
        <f t="shared" si="1159"/>
        <v>0</v>
      </c>
      <c r="AE428" s="694">
        <f t="shared" si="1159"/>
        <v>0</v>
      </c>
      <c r="AF428" s="694">
        <f t="shared" si="1159"/>
        <v>0</v>
      </c>
      <c r="AG428" s="904">
        <f>SUM(U428:AF428)</f>
        <v>0</v>
      </c>
      <c r="AH428" s="904">
        <f t="shared" ref="AH428:AO428" si="1160">AH414+AH420+AH426</f>
        <v>0</v>
      </c>
      <c r="AI428" s="904">
        <f t="shared" si="1160"/>
        <v>6.8796000000000008</v>
      </c>
      <c r="AJ428" s="904">
        <f t="shared" si="1160"/>
        <v>28.343952000000009</v>
      </c>
      <c r="AK428" s="904">
        <f t="shared" si="1160"/>
        <v>65.049369840000011</v>
      </c>
      <c r="AL428" s="904">
        <f t="shared" si="1160"/>
        <v>131.39972707680002</v>
      </c>
      <c r="AM428" s="904">
        <f t="shared" si="1160"/>
        <v>221.43287340720005</v>
      </c>
      <c r="AN428" s="904">
        <f t="shared" si="1160"/>
        <v>291.99939350400007</v>
      </c>
      <c r="AO428" s="1001">
        <f t="shared" si="1160"/>
        <v>340.66595908800008</v>
      </c>
    </row>
    <row r="429" spans="1:42" s="18" customFormat="1" ht="13.15" customHeight="1" x14ac:dyDescent="0.2">
      <c r="A429" s="680"/>
      <c r="B429" s="680"/>
      <c r="C429" s="682"/>
      <c r="D429" s="682"/>
      <c r="E429" s="682"/>
      <c r="F429" s="682"/>
      <c r="G429" s="900"/>
      <c r="H429" s="682"/>
      <c r="I429" s="682"/>
      <c r="J429" s="682"/>
      <c r="K429" s="682"/>
      <c r="L429" s="682"/>
      <c r="M429" s="682"/>
      <c r="N429" s="682"/>
      <c r="O429" s="682"/>
      <c r="P429" s="682"/>
      <c r="Q429" s="682"/>
      <c r="R429" s="682"/>
      <c r="S429" s="682"/>
      <c r="T429" s="917"/>
      <c r="U429" s="682"/>
      <c r="V429" s="682"/>
      <c r="W429" s="682"/>
      <c r="X429" s="682"/>
      <c r="Y429" s="682"/>
      <c r="Z429" s="682"/>
      <c r="AA429" s="682"/>
      <c r="AB429" s="682"/>
      <c r="AC429" s="682"/>
      <c r="AD429" s="682"/>
      <c r="AE429" s="682"/>
      <c r="AF429" s="682"/>
      <c r="AG429" s="917"/>
      <c r="AH429" s="917"/>
      <c r="AI429" s="917"/>
      <c r="AJ429" s="917"/>
      <c r="AK429" s="924"/>
      <c r="AL429" s="924"/>
      <c r="AM429" s="924"/>
      <c r="AN429" s="924"/>
      <c r="AO429" s="995"/>
    </row>
    <row r="430" spans="1:42" s="18" customFormat="1" ht="13.15" customHeight="1" x14ac:dyDescent="0.2">
      <c r="A430" s="680" t="s">
        <v>258</v>
      </c>
      <c r="B430" s="680"/>
      <c r="C430" s="767">
        <f t="shared" ref="C430:F430" si="1161">C349</f>
        <v>300</v>
      </c>
      <c r="D430" s="767">
        <f t="shared" si="1161"/>
        <v>300</v>
      </c>
      <c r="E430" s="767">
        <f t="shared" si="1161"/>
        <v>300</v>
      </c>
      <c r="F430" s="767">
        <f t="shared" si="1161"/>
        <v>300</v>
      </c>
      <c r="G430" s="905">
        <f>F430</f>
        <v>300</v>
      </c>
      <c r="H430" s="767">
        <f t="shared" ref="H430:M430" si="1162">H349</f>
        <v>300</v>
      </c>
      <c r="I430" s="767">
        <f t="shared" si="1162"/>
        <v>300</v>
      </c>
      <c r="J430" s="767">
        <f t="shared" si="1162"/>
        <v>300</v>
      </c>
      <c r="K430" s="767">
        <f t="shared" si="1162"/>
        <v>300</v>
      </c>
      <c r="L430" s="767">
        <f t="shared" si="1162"/>
        <v>300</v>
      </c>
      <c r="M430" s="767">
        <f t="shared" si="1162"/>
        <v>300</v>
      </c>
      <c r="N430" s="767">
        <f t="shared" ref="N430:AO430" si="1163">N$25</f>
        <v>300</v>
      </c>
      <c r="O430" s="767">
        <f t="shared" si="1163"/>
        <v>300</v>
      </c>
      <c r="P430" s="767">
        <f t="shared" si="1163"/>
        <v>300</v>
      </c>
      <c r="Q430" s="767">
        <f t="shared" si="1163"/>
        <v>300</v>
      </c>
      <c r="R430" s="767">
        <f t="shared" si="1163"/>
        <v>300</v>
      </c>
      <c r="S430" s="767">
        <f t="shared" si="1163"/>
        <v>300</v>
      </c>
      <c r="T430" s="905">
        <f t="shared" si="1163"/>
        <v>300</v>
      </c>
      <c r="U430" s="767">
        <f t="shared" si="1163"/>
        <v>300</v>
      </c>
      <c r="V430" s="767">
        <f t="shared" si="1163"/>
        <v>300</v>
      </c>
      <c r="W430" s="767">
        <f t="shared" si="1163"/>
        <v>300</v>
      </c>
      <c r="X430" s="767">
        <f t="shared" si="1163"/>
        <v>300</v>
      </c>
      <c r="Y430" s="767">
        <f t="shared" si="1163"/>
        <v>300</v>
      </c>
      <c r="Z430" s="767">
        <f t="shared" si="1163"/>
        <v>300</v>
      </c>
      <c r="AA430" s="767">
        <f t="shared" si="1163"/>
        <v>300</v>
      </c>
      <c r="AB430" s="767">
        <f t="shared" si="1163"/>
        <v>300</v>
      </c>
      <c r="AC430" s="767">
        <f t="shared" si="1163"/>
        <v>300</v>
      </c>
      <c r="AD430" s="767">
        <f t="shared" si="1163"/>
        <v>300</v>
      </c>
      <c r="AE430" s="767">
        <f t="shared" si="1163"/>
        <v>300</v>
      </c>
      <c r="AF430" s="767">
        <f t="shared" si="1163"/>
        <v>300</v>
      </c>
      <c r="AG430" s="905">
        <f t="shared" si="1163"/>
        <v>300</v>
      </c>
      <c r="AH430" s="905">
        <f t="shared" si="1163"/>
        <v>300</v>
      </c>
      <c r="AI430" s="905">
        <f t="shared" si="1163"/>
        <v>300</v>
      </c>
      <c r="AJ430" s="905">
        <f t="shared" si="1163"/>
        <v>300</v>
      </c>
      <c r="AK430" s="905">
        <f t="shared" si="1163"/>
        <v>300</v>
      </c>
      <c r="AL430" s="905">
        <f t="shared" si="1163"/>
        <v>300</v>
      </c>
      <c r="AM430" s="905">
        <f t="shared" si="1163"/>
        <v>300</v>
      </c>
      <c r="AN430" s="905">
        <f t="shared" si="1163"/>
        <v>300</v>
      </c>
      <c r="AO430" s="1002">
        <f t="shared" si="1163"/>
        <v>300</v>
      </c>
      <c r="AP430" s="988"/>
    </row>
    <row r="431" spans="1:42" s="18" customFormat="1" ht="13.15" customHeight="1" x14ac:dyDescent="0.2">
      <c r="A431" s="680"/>
      <c r="B431" s="680"/>
      <c r="C431" s="682"/>
      <c r="D431" s="682"/>
      <c r="E431" s="682"/>
      <c r="F431" s="682"/>
      <c r="G431" s="900"/>
      <c r="H431" s="682"/>
      <c r="I431" s="682"/>
      <c r="J431" s="682"/>
      <c r="K431" s="682"/>
      <c r="L431" s="682"/>
      <c r="M431" s="682"/>
      <c r="N431" s="682"/>
      <c r="O431" s="682"/>
      <c r="P431" s="682"/>
      <c r="Q431" s="682"/>
      <c r="R431" s="682"/>
      <c r="S431" s="682"/>
      <c r="T431" s="917"/>
      <c r="U431" s="682"/>
      <c r="V431" s="682"/>
      <c r="W431" s="682"/>
      <c r="X431" s="682"/>
      <c r="Y431" s="682"/>
      <c r="Z431" s="682"/>
      <c r="AA431" s="682"/>
      <c r="AB431" s="682"/>
      <c r="AC431" s="682"/>
      <c r="AD431" s="682"/>
      <c r="AE431" s="682"/>
      <c r="AF431" s="682"/>
      <c r="AG431" s="917"/>
      <c r="AH431" s="917"/>
      <c r="AI431" s="917"/>
      <c r="AJ431" s="917"/>
      <c r="AK431" s="924"/>
      <c r="AL431" s="924"/>
      <c r="AM431" s="924"/>
      <c r="AN431" s="924"/>
      <c r="AO431" s="995"/>
    </row>
    <row r="432" spans="1:42" s="794" customFormat="1" ht="13.15" customHeight="1" x14ac:dyDescent="0.2">
      <c r="A432" s="763" t="s">
        <v>429</v>
      </c>
      <c r="B432" s="763"/>
      <c r="C432" s="765">
        <f t="shared" ref="C432:F432" si="1164">C428*C430</f>
        <v>0</v>
      </c>
      <c r="D432" s="765">
        <f t="shared" si="1164"/>
        <v>0</v>
      </c>
      <c r="E432" s="765">
        <f t="shared" si="1164"/>
        <v>0</v>
      </c>
      <c r="F432" s="765">
        <f t="shared" si="1164"/>
        <v>0</v>
      </c>
      <c r="G432" s="906">
        <f>SUM(C432:F432)</f>
        <v>0</v>
      </c>
      <c r="H432" s="765">
        <f t="shared" ref="H432:M432" si="1165">H428*H430</f>
        <v>0</v>
      </c>
      <c r="I432" s="765">
        <f t="shared" si="1165"/>
        <v>0</v>
      </c>
      <c r="J432" s="765">
        <f t="shared" si="1165"/>
        <v>0</v>
      </c>
      <c r="K432" s="765">
        <f t="shared" si="1165"/>
        <v>0</v>
      </c>
      <c r="L432" s="765">
        <f t="shared" si="1165"/>
        <v>0</v>
      </c>
      <c r="M432" s="765">
        <f t="shared" si="1165"/>
        <v>0</v>
      </c>
      <c r="N432" s="765">
        <f t="shared" ref="N432:S432" si="1166">N428*N430</f>
        <v>0</v>
      </c>
      <c r="O432" s="765">
        <f t="shared" si="1166"/>
        <v>0</v>
      </c>
      <c r="P432" s="765">
        <f t="shared" si="1166"/>
        <v>0</v>
      </c>
      <c r="Q432" s="765">
        <f t="shared" si="1166"/>
        <v>0</v>
      </c>
      <c r="R432" s="765">
        <f t="shared" si="1166"/>
        <v>0</v>
      </c>
      <c r="S432" s="765">
        <f t="shared" si="1166"/>
        <v>0</v>
      </c>
      <c r="T432" s="906">
        <f>SUM(H432:S432)</f>
        <v>0</v>
      </c>
      <c r="U432" s="765">
        <f>U428*U430</f>
        <v>0</v>
      </c>
      <c r="V432" s="765">
        <f t="shared" ref="V432:AF432" si="1167">V428*V430</f>
        <v>0</v>
      </c>
      <c r="W432" s="765">
        <f t="shared" si="1167"/>
        <v>0</v>
      </c>
      <c r="X432" s="765">
        <f t="shared" si="1167"/>
        <v>0</v>
      </c>
      <c r="Y432" s="765">
        <f t="shared" si="1167"/>
        <v>0</v>
      </c>
      <c r="Z432" s="765">
        <f t="shared" si="1167"/>
        <v>0</v>
      </c>
      <c r="AA432" s="765">
        <f t="shared" si="1167"/>
        <v>0</v>
      </c>
      <c r="AB432" s="765">
        <f t="shared" si="1167"/>
        <v>0</v>
      </c>
      <c r="AC432" s="765">
        <f t="shared" si="1167"/>
        <v>0</v>
      </c>
      <c r="AD432" s="765">
        <f t="shared" si="1167"/>
        <v>0</v>
      </c>
      <c r="AE432" s="765">
        <f t="shared" si="1167"/>
        <v>0</v>
      </c>
      <c r="AF432" s="765">
        <f t="shared" si="1167"/>
        <v>0</v>
      </c>
      <c r="AG432" s="906">
        <f>SUM(U432:AF432)</f>
        <v>0</v>
      </c>
      <c r="AH432" s="906">
        <f t="shared" ref="AH432:AO432" si="1168">AH428*AH430</f>
        <v>0</v>
      </c>
      <c r="AI432" s="906">
        <f t="shared" si="1168"/>
        <v>2063.88</v>
      </c>
      <c r="AJ432" s="906">
        <f t="shared" si="1168"/>
        <v>8503.1856000000025</v>
      </c>
      <c r="AK432" s="906">
        <f t="shared" si="1168"/>
        <v>19514.810952000003</v>
      </c>
      <c r="AL432" s="906">
        <f t="shared" si="1168"/>
        <v>39419.918123040006</v>
      </c>
      <c r="AM432" s="906">
        <f t="shared" si="1168"/>
        <v>66429.862022160014</v>
      </c>
      <c r="AN432" s="906">
        <f t="shared" si="1168"/>
        <v>87599.818051200025</v>
      </c>
      <c r="AO432" s="1003">
        <f t="shared" si="1168"/>
        <v>102199.78772640003</v>
      </c>
      <c r="AP432" s="277"/>
    </row>
    <row r="433" spans="1:83" s="18" customFormat="1" ht="13.15" customHeight="1" x14ac:dyDescent="0.2">
      <c r="A433" s="680"/>
      <c r="B433" s="680"/>
      <c r="C433" s="680"/>
      <c r="D433" s="680"/>
      <c r="E433" s="680"/>
      <c r="F433" s="680"/>
      <c r="G433" s="900"/>
      <c r="H433" s="682"/>
      <c r="I433" s="682"/>
      <c r="J433" s="682"/>
      <c r="K433" s="682"/>
      <c r="L433" s="682"/>
      <c r="M433" s="682"/>
      <c r="N433" s="682"/>
      <c r="O433" s="682"/>
      <c r="P433" s="682"/>
      <c r="Q433" s="682"/>
      <c r="R433" s="682"/>
      <c r="S433" s="682"/>
      <c r="T433" s="917"/>
      <c r="U433" s="682"/>
      <c r="V433" s="682"/>
      <c r="W433" s="682"/>
      <c r="X433" s="682"/>
      <c r="Y433" s="682"/>
      <c r="Z433" s="682"/>
      <c r="AA433" s="682"/>
      <c r="AB433" s="682"/>
      <c r="AC433" s="682"/>
      <c r="AD433" s="682"/>
      <c r="AE433" s="682"/>
      <c r="AF433" s="682"/>
      <c r="AG433" s="917"/>
      <c r="AH433" s="917"/>
      <c r="AI433" s="917"/>
      <c r="AJ433" s="917"/>
      <c r="AK433" s="924"/>
      <c r="AL433" s="924"/>
      <c r="AM433" s="924"/>
      <c r="AN433" s="924"/>
      <c r="AO433" s="995"/>
    </row>
    <row r="434" spans="1:83" s="18" customFormat="1" ht="13.15" customHeight="1" x14ac:dyDescent="0.2">
      <c r="A434" s="680"/>
      <c r="B434" s="680"/>
      <c r="C434" s="680"/>
      <c r="D434" s="680"/>
      <c r="E434" s="680"/>
      <c r="F434" s="680"/>
      <c r="G434" s="900"/>
      <c r="H434" s="682"/>
      <c r="I434" s="682"/>
      <c r="J434" s="682"/>
      <c r="K434" s="682"/>
      <c r="L434" s="682"/>
      <c r="M434" s="682"/>
      <c r="N434" s="682"/>
      <c r="O434" s="682"/>
      <c r="P434" s="682"/>
      <c r="Q434" s="682"/>
      <c r="R434" s="682"/>
      <c r="S434" s="682"/>
      <c r="T434" s="917"/>
      <c r="U434" s="682"/>
      <c r="V434" s="682"/>
      <c r="W434" s="682"/>
      <c r="X434" s="682"/>
      <c r="Y434" s="682"/>
      <c r="Z434" s="682"/>
      <c r="AA434" s="682"/>
      <c r="AB434" s="682"/>
      <c r="AC434" s="682"/>
      <c r="AD434" s="682"/>
      <c r="AE434" s="682"/>
      <c r="AF434" s="682"/>
      <c r="AG434" s="917"/>
      <c r="AH434" s="917"/>
      <c r="AI434" s="917"/>
      <c r="AJ434" s="917"/>
      <c r="AK434" s="924"/>
      <c r="AL434" s="924"/>
      <c r="AM434" s="924"/>
      <c r="AN434" s="924"/>
      <c r="AO434" s="995"/>
    </row>
    <row r="435" spans="1:83" s="34" customFormat="1" ht="16.899999999999999" customHeight="1" thickBot="1" x14ac:dyDescent="0.25">
      <c r="A435" s="83" t="s">
        <v>273</v>
      </c>
      <c r="B435" s="854"/>
      <c r="C435" s="698">
        <f>C454</f>
        <v>41153</v>
      </c>
      <c r="D435" s="698">
        <f t="shared" ref="D435:AO435" si="1169">D454</f>
        <v>41183</v>
      </c>
      <c r="E435" s="698">
        <f t="shared" si="1169"/>
        <v>41214</v>
      </c>
      <c r="F435" s="698">
        <f t="shared" si="1169"/>
        <v>41244</v>
      </c>
      <c r="G435" s="907">
        <f t="shared" si="1169"/>
        <v>2012</v>
      </c>
      <c r="H435" s="698">
        <f t="shared" si="1169"/>
        <v>41275</v>
      </c>
      <c r="I435" s="698">
        <f t="shared" si="1169"/>
        <v>41306</v>
      </c>
      <c r="J435" s="698">
        <f t="shared" si="1169"/>
        <v>41334</v>
      </c>
      <c r="K435" s="698">
        <f t="shared" si="1169"/>
        <v>41365</v>
      </c>
      <c r="L435" s="698">
        <f t="shared" si="1169"/>
        <v>41395</v>
      </c>
      <c r="M435" s="698">
        <f t="shared" si="1169"/>
        <v>41426</v>
      </c>
      <c r="N435" s="698">
        <f t="shared" si="1169"/>
        <v>41456</v>
      </c>
      <c r="O435" s="698">
        <f t="shared" si="1169"/>
        <v>41487</v>
      </c>
      <c r="P435" s="698">
        <f t="shared" si="1169"/>
        <v>41518</v>
      </c>
      <c r="Q435" s="698">
        <f t="shared" si="1169"/>
        <v>41548</v>
      </c>
      <c r="R435" s="698">
        <f t="shared" si="1169"/>
        <v>41579</v>
      </c>
      <c r="S435" s="698">
        <f t="shared" si="1169"/>
        <v>41609</v>
      </c>
      <c r="T435" s="907">
        <f t="shared" si="1169"/>
        <v>2013</v>
      </c>
      <c r="U435" s="698">
        <f t="shared" si="1169"/>
        <v>41640</v>
      </c>
      <c r="V435" s="698">
        <f t="shared" si="1169"/>
        <v>41671</v>
      </c>
      <c r="W435" s="698">
        <f t="shared" si="1169"/>
        <v>41699</v>
      </c>
      <c r="X435" s="698">
        <f t="shared" si="1169"/>
        <v>41730</v>
      </c>
      <c r="Y435" s="698">
        <f t="shared" si="1169"/>
        <v>41760</v>
      </c>
      <c r="Z435" s="698">
        <f t="shared" si="1169"/>
        <v>41791</v>
      </c>
      <c r="AA435" s="698">
        <f t="shared" si="1169"/>
        <v>41821</v>
      </c>
      <c r="AB435" s="698">
        <f t="shared" si="1169"/>
        <v>41852</v>
      </c>
      <c r="AC435" s="698">
        <f t="shared" si="1169"/>
        <v>41883</v>
      </c>
      <c r="AD435" s="698">
        <f t="shared" si="1169"/>
        <v>41913</v>
      </c>
      <c r="AE435" s="698">
        <f t="shared" si="1169"/>
        <v>41944</v>
      </c>
      <c r="AF435" s="698">
        <f t="shared" si="1169"/>
        <v>41974</v>
      </c>
      <c r="AG435" s="907">
        <f t="shared" si="1169"/>
        <v>2014</v>
      </c>
      <c r="AH435" s="907">
        <f t="shared" si="1169"/>
        <v>2015</v>
      </c>
      <c r="AI435" s="907">
        <f t="shared" si="1169"/>
        <v>2016</v>
      </c>
      <c r="AJ435" s="907">
        <f t="shared" si="1169"/>
        <v>2017</v>
      </c>
      <c r="AK435" s="907">
        <f t="shared" si="1169"/>
        <v>2018</v>
      </c>
      <c r="AL435" s="907">
        <f t="shared" si="1169"/>
        <v>2019</v>
      </c>
      <c r="AM435" s="907">
        <f t="shared" si="1169"/>
        <v>2020</v>
      </c>
      <c r="AN435" s="907">
        <f t="shared" si="1169"/>
        <v>2021</v>
      </c>
      <c r="AO435" s="1006">
        <f t="shared" si="1169"/>
        <v>2022</v>
      </c>
      <c r="AP435" s="991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579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</row>
    <row r="436" spans="1:83" s="34" customFormat="1" ht="12.4" customHeight="1" x14ac:dyDescent="0.2">
      <c r="A436" s="501" t="s">
        <v>57</v>
      </c>
      <c r="B436" s="855"/>
      <c r="C436" s="695">
        <f t="shared" ref="C436:E436" si="1170">C27</f>
        <v>0</v>
      </c>
      <c r="D436" s="695">
        <f t="shared" si="1170"/>
        <v>0</v>
      </c>
      <c r="E436" s="695">
        <f t="shared" si="1170"/>
        <v>0</v>
      </c>
      <c r="F436" s="695">
        <f t="shared" ref="F436" si="1171">F27</f>
        <v>0</v>
      </c>
      <c r="G436" s="88">
        <f>SUM(C436:F436)</f>
        <v>0</v>
      </c>
      <c r="H436" s="695">
        <f t="shared" ref="H436:M436" si="1172">H27</f>
        <v>0</v>
      </c>
      <c r="I436" s="695">
        <f t="shared" si="1172"/>
        <v>0</v>
      </c>
      <c r="J436" s="695">
        <f t="shared" si="1172"/>
        <v>0</v>
      </c>
      <c r="K436" s="695">
        <f t="shared" si="1172"/>
        <v>0</v>
      </c>
      <c r="L436" s="695">
        <f t="shared" si="1172"/>
        <v>0</v>
      </c>
      <c r="M436" s="695">
        <f t="shared" si="1172"/>
        <v>0</v>
      </c>
      <c r="N436" s="695">
        <f t="shared" ref="N436:S436" si="1173">N27</f>
        <v>0</v>
      </c>
      <c r="O436" s="695">
        <f t="shared" si="1173"/>
        <v>0</v>
      </c>
      <c r="P436" s="695">
        <f t="shared" si="1173"/>
        <v>0</v>
      </c>
      <c r="Q436" s="695">
        <f t="shared" si="1173"/>
        <v>0</v>
      </c>
      <c r="R436" s="695">
        <f t="shared" si="1173"/>
        <v>0</v>
      </c>
      <c r="S436" s="695">
        <f t="shared" si="1173"/>
        <v>0</v>
      </c>
      <c r="T436" s="88">
        <f t="shared" ref="T436:T441" si="1174">SUM(H436:S436)</f>
        <v>0</v>
      </c>
      <c r="U436" s="695">
        <f t="shared" ref="U436:AF436" si="1175">U27</f>
        <v>0</v>
      </c>
      <c r="V436" s="695">
        <f t="shared" si="1175"/>
        <v>0</v>
      </c>
      <c r="W436" s="695">
        <f t="shared" si="1175"/>
        <v>229531.25000000003</v>
      </c>
      <c r="X436" s="695">
        <f t="shared" si="1175"/>
        <v>271562.5</v>
      </c>
      <c r="Y436" s="695">
        <f t="shared" si="1175"/>
        <v>307343.75</v>
      </c>
      <c r="Z436" s="695">
        <f t="shared" si="1175"/>
        <v>336875</v>
      </c>
      <c r="AA436" s="695">
        <f t="shared" si="1175"/>
        <v>366406.25</v>
      </c>
      <c r="AB436" s="695">
        <f t="shared" si="1175"/>
        <v>395937.5</v>
      </c>
      <c r="AC436" s="695">
        <f t="shared" si="1175"/>
        <v>425468.75</v>
      </c>
      <c r="AD436" s="695">
        <f t="shared" si="1175"/>
        <v>455000</v>
      </c>
      <c r="AE436" s="695">
        <f t="shared" si="1175"/>
        <v>484531.25000000012</v>
      </c>
      <c r="AF436" s="695">
        <f t="shared" si="1175"/>
        <v>514062.50000000012</v>
      </c>
      <c r="AG436" s="88">
        <f t="shared" ref="AG436:AG441" si="1176">SUM(U436:AF436)</f>
        <v>3786718.75</v>
      </c>
      <c r="AH436" s="922">
        <f t="shared" ref="AH436:AO436" si="1177">AH27</f>
        <v>9136640.625</v>
      </c>
      <c r="AI436" s="922">
        <f t="shared" si="1177"/>
        <v>17136656.250000004</v>
      </c>
      <c r="AJ436" s="922">
        <f t="shared" si="1177"/>
        <v>32519011.875</v>
      </c>
      <c r="AK436" s="922">
        <f t="shared" si="1177"/>
        <v>47346441.764999993</v>
      </c>
      <c r="AL436" s="922">
        <f t="shared" si="1177"/>
        <v>56006139.124949992</v>
      </c>
      <c r="AM436" s="922">
        <f t="shared" si="1177"/>
        <v>64218622.067249984</v>
      </c>
      <c r="AN436" s="922">
        <f t="shared" si="1177"/>
        <v>72431105.009549975</v>
      </c>
      <c r="AO436" s="1007">
        <f t="shared" si="1177"/>
        <v>80643587.951849967</v>
      </c>
      <c r="AP436" s="991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405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</row>
    <row r="437" spans="1:83" s="34" customFormat="1" ht="12.4" customHeight="1" x14ac:dyDescent="0.2">
      <c r="A437" s="664" t="s">
        <v>46</v>
      </c>
      <c r="B437" s="856"/>
      <c r="C437" s="696">
        <f t="shared" ref="C437:E437" si="1178">C54</f>
        <v>0</v>
      </c>
      <c r="D437" s="696">
        <f t="shared" si="1178"/>
        <v>0</v>
      </c>
      <c r="E437" s="696">
        <f t="shared" si="1178"/>
        <v>0</v>
      </c>
      <c r="F437" s="696">
        <f t="shared" ref="F437" si="1179">F54</f>
        <v>0</v>
      </c>
      <c r="G437" s="88">
        <f t="shared" ref="G437:G441" si="1180">SUM(C437:F437)</f>
        <v>0</v>
      </c>
      <c r="H437" s="696">
        <f t="shared" ref="H437:M437" si="1181">H54</f>
        <v>0</v>
      </c>
      <c r="I437" s="696">
        <f t="shared" si="1181"/>
        <v>0</v>
      </c>
      <c r="J437" s="696">
        <f t="shared" si="1181"/>
        <v>0</v>
      </c>
      <c r="K437" s="696">
        <f t="shared" si="1181"/>
        <v>0</v>
      </c>
      <c r="L437" s="696">
        <f t="shared" si="1181"/>
        <v>0</v>
      </c>
      <c r="M437" s="696">
        <f t="shared" si="1181"/>
        <v>0</v>
      </c>
      <c r="N437" s="696">
        <f t="shared" ref="N437:S437" si="1182">N54</f>
        <v>0</v>
      </c>
      <c r="O437" s="696">
        <f t="shared" si="1182"/>
        <v>0</v>
      </c>
      <c r="P437" s="696">
        <f t="shared" si="1182"/>
        <v>0</v>
      </c>
      <c r="Q437" s="696">
        <f t="shared" si="1182"/>
        <v>0</v>
      </c>
      <c r="R437" s="696">
        <f t="shared" si="1182"/>
        <v>0</v>
      </c>
      <c r="S437" s="696">
        <f t="shared" si="1182"/>
        <v>0</v>
      </c>
      <c r="T437" s="88">
        <f t="shared" si="1174"/>
        <v>0</v>
      </c>
      <c r="U437" s="696">
        <f t="shared" ref="U437:AF437" si="1183">U54</f>
        <v>0</v>
      </c>
      <c r="V437" s="696">
        <f t="shared" si="1183"/>
        <v>0</v>
      </c>
      <c r="W437" s="696">
        <f t="shared" si="1183"/>
        <v>348906.25000000006</v>
      </c>
      <c r="X437" s="696">
        <f t="shared" si="1183"/>
        <v>435312.5</v>
      </c>
      <c r="Y437" s="696">
        <f t="shared" si="1183"/>
        <v>512968.75000000006</v>
      </c>
      <c r="Z437" s="696">
        <f t="shared" si="1183"/>
        <v>581875</v>
      </c>
      <c r="AA437" s="696">
        <f t="shared" si="1183"/>
        <v>650781.25</v>
      </c>
      <c r="AB437" s="696">
        <f t="shared" si="1183"/>
        <v>719687.5</v>
      </c>
      <c r="AC437" s="696">
        <f t="shared" si="1183"/>
        <v>788593.75</v>
      </c>
      <c r="AD437" s="696">
        <f t="shared" si="1183"/>
        <v>857500</v>
      </c>
      <c r="AE437" s="696">
        <f t="shared" si="1183"/>
        <v>926406.25</v>
      </c>
      <c r="AF437" s="696">
        <f t="shared" si="1183"/>
        <v>995312.5</v>
      </c>
      <c r="AG437" s="88">
        <f t="shared" si="1176"/>
        <v>6817343.75</v>
      </c>
      <c r="AH437" s="814">
        <f t="shared" ref="AH437:AO437" si="1184">AH54</f>
        <v>18434718.749999996</v>
      </c>
      <c r="AI437" s="814">
        <f t="shared" si="1184"/>
        <v>30763425</v>
      </c>
      <c r="AJ437" s="814">
        <f t="shared" si="1184"/>
        <v>42736508.850000001</v>
      </c>
      <c r="AK437" s="814">
        <f t="shared" si="1184"/>
        <v>54901378.749000013</v>
      </c>
      <c r="AL437" s="814">
        <f t="shared" si="1184"/>
        <v>65952995.64577499</v>
      </c>
      <c r="AM437" s="814">
        <f t="shared" si="1184"/>
        <v>75534225.745125011</v>
      </c>
      <c r="AN437" s="814">
        <f t="shared" si="1184"/>
        <v>85115455.844475016</v>
      </c>
      <c r="AO437" s="979">
        <f t="shared" si="1184"/>
        <v>94696685.943825006</v>
      </c>
      <c r="AP437" s="991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405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</row>
    <row r="438" spans="1:83" s="34" customFormat="1" ht="13.15" customHeight="1" x14ac:dyDescent="0.2">
      <c r="A438" s="664" t="s">
        <v>475</v>
      </c>
      <c r="B438" s="856"/>
      <c r="C438" s="696">
        <f t="shared" ref="C438:E438" si="1185">C81</f>
        <v>0</v>
      </c>
      <c r="D438" s="696">
        <f t="shared" si="1185"/>
        <v>0</v>
      </c>
      <c r="E438" s="696">
        <f t="shared" si="1185"/>
        <v>0</v>
      </c>
      <c r="F438" s="696">
        <f t="shared" ref="F438" si="1186">F81</f>
        <v>0</v>
      </c>
      <c r="G438" s="88">
        <f t="shared" si="1180"/>
        <v>0</v>
      </c>
      <c r="H438" s="696">
        <f t="shared" ref="H438:M438" si="1187">H81</f>
        <v>0</v>
      </c>
      <c r="I438" s="696">
        <f t="shared" si="1187"/>
        <v>0</v>
      </c>
      <c r="J438" s="696">
        <f t="shared" si="1187"/>
        <v>0</v>
      </c>
      <c r="K438" s="696">
        <f t="shared" si="1187"/>
        <v>0</v>
      </c>
      <c r="L438" s="696">
        <f t="shared" si="1187"/>
        <v>0</v>
      </c>
      <c r="M438" s="696">
        <f t="shared" si="1187"/>
        <v>0</v>
      </c>
      <c r="N438" s="696">
        <f t="shared" ref="N438:S438" si="1188">N81</f>
        <v>0</v>
      </c>
      <c r="O438" s="696">
        <f t="shared" si="1188"/>
        <v>0</v>
      </c>
      <c r="P438" s="696">
        <f t="shared" si="1188"/>
        <v>0</v>
      </c>
      <c r="Q438" s="696">
        <f t="shared" si="1188"/>
        <v>0</v>
      </c>
      <c r="R438" s="696">
        <f t="shared" si="1188"/>
        <v>0</v>
      </c>
      <c r="S438" s="696">
        <f t="shared" si="1188"/>
        <v>0</v>
      </c>
      <c r="T438" s="88">
        <f t="shared" si="1174"/>
        <v>0</v>
      </c>
      <c r="U438" s="696">
        <f t="shared" ref="U438:AF438" si="1189">U81</f>
        <v>0</v>
      </c>
      <c r="V438" s="696">
        <f t="shared" si="1189"/>
        <v>0</v>
      </c>
      <c r="W438" s="696">
        <f t="shared" si="1189"/>
        <v>0</v>
      </c>
      <c r="X438" s="696">
        <f t="shared" si="1189"/>
        <v>0</v>
      </c>
      <c r="Y438" s="696">
        <f t="shared" si="1189"/>
        <v>0</v>
      </c>
      <c r="Z438" s="696">
        <f t="shared" si="1189"/>
        <v>0</v>
      </c>
      <c r="AA438" s="696">
        <f t="shared" si="1189"/>
        <v>0</v>
      </c>
      <c r="AB438" s="696">
        <f t="shared" si="1189"/>
        <v>0</v>
      </c>
      <c r="AC438" s="696">
        <f t="shared" si="1189"/>
        <v>0</v>
      </c>
      <c r="AD438" s="696">
        <f t="shared" si="1189"/>
        <v>0</v>
      </c>
      <c r="AE438" s="696">
        <f t="shared" si="1189"/>
        <v>0</v>
      </c>
      <c r="AF438" s="696">
        <f t="shared" si="1189"/>
        <v>0</v>
      </c>
      <c r="AG438" s="88">
        <f t="shared" si="1176"/>
        <v>0</v>
      </c>
      <c r="AH438" s="814">
        <f t="shared" ref="AH438:AO438" si="1190">AH81</f>
        <v>2947031.25</v>
      </c>
      <c r="AI438" s="814">
        <f t="shared" si="1190"/>
        <v>6767193.7500000009</v>
      </c>
      <c r="AJ438" s="814">
        <f t="shared" si="1190"/>
        <v>13125449.062500002</v>
      </c>
      <c r="AK438" s="814">
        <f t="shared" si="1190"/>
        <v>25215916.087500006</v>
      </c>
      <c r="AL438" s="814">
        <f t="shared" si="1190"/>
        <v>36631177.030950002</v>
      </c>
      <c r="AM438" s="814">
        <f t="shared" si="1190"/>
        <v>43018663.763850003</v>
      </c>
      <c r="AN438" s="814">
        <f t="shared" si="1190"/>
        <v>49406150.49674999</v>
      </c>
      <c r="AO438" s="979">
        <f t="shared" si="1190"/>
        <v>55793637.229649998</v>
      </c>
      <c r="AP438" s="991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405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</row>
    <row r="439" spans="1:83" s="18" customFormat="1" ht="13.15" customHeight="1" x14ac:dyDescent="0.2">
      <c r="A439" s="664" t="s">
        <v>416</v>
      </c>
      <c r="B439" s="856"/>
      <c r="C439" s="696">
        <f t="shared" ref="C439:E439" si="1191">C108</f>
        <v>0</v>
      </c>
      <c r="D439" s="696">
        <f t="shared" si="1191"/>
        <v>0</v>
      </c>
      <c r="E439" s="696">
        <f t="shared" si="1191"/>
        <v>0</v>
      </c>
      <c r="F439" s="696">
        <f t="shared" ref="F439" si="1192">F108</f>
        <v>0</v>
      </c>
      <c r="G439" s="88">
        <f t="shared" si="1180"/>
        <v>0</v>
      </c>
      <c r="H439" s="696">
        <f t="shared" ref="H439:M439" si="1193">H108</f>
        <v>0</v>
      </c>
      <c r="I439" s="696">
        <f t="shared" si="1193"/>
        <v>0</v>
      </c>
      <c r="J439" s="696">
        <f t="shared" si="1193"/>
        <v>0</v>
      </c>
      <c r="K439" s="696">
        <f t="shared" si="1193"/>
        <v>0</v>
      </c>
      <c r="L439" s="696">
        <f t="shared" si="1193"/>
        <v>0</v>
      </c>
      <c r="M439" s="696">
        <f t="shared" si="1193"/>
        <v>0</v>
      </c>
      <c r="N439" s="696">
        <f t="shared" ref="N439:S439" si="1194">N108</f>
        <v>0</v>
      </c>
      <c r="O439" s="696">
        <f t="shared" si="1194"/>
        <v>0</v>
      </c>
      <c r="P439" s="696">
        <f t="shared" si="1194"/>
        <v>0</v>
      </c>
      <c r="Q439" s="696">
        <f t="shared" si="1194"/>
        <v>0</v>
      </c>
      <c r="R439" s="696">
        <f t="shared" si="1194"/>
        <v>0</v>
      </c>
      <c r="S439" s="696">
        <f t="shared" si="1194"/>
        <v>0</v>
      </c>
      <c r="T439" s="88">
        <f t="shared" si="1174"/>
        <v>0</v>
      </c>
      <c r="U439" s="696">
        <f t="shared" ref="U439:AF439" si="1195">U108</f>
        <v>0</v>
      </c>
      <c r="V439" s="696">
        <f t="shared" si="1195"/>
        <v>0</v>
      </c>
      <c r="W439" s="696">
        <f t="shared" si="1195"/>
        <v>0</v>
      </c>
      <c r="X439" s="696">
        <f t="shared" si="1195"/>
        <v>0</v>
      </c>
      <c r="Y439" s="696">
        <f t="shared" si="1195"/>
        <v>0</v>
      </c>
      <c r="Z439" s="696">
        <f t="shared" si="1195"/>
        <v>0</v>
      </c>
      <c r="AA439" s="696">
        <f t="shared" si="1195"/>
        <v>0</v>
      </c>
      <c r="AB439" s="696">
        <f t="shared" si="1195"/>
        <v>0</v>
      </c>
      <c r="AC439" s="696">
        <f t="shared" si="1195"/>
        <v>0</v>
      </c>
      <c r="AD439" s="696">
        <f t="shared" si="1195"/>
        <v>0</v>
      </c>
      <c r="AE439" s="696">
        <f t="shared" si="1195"/>
        <v>0</v>
      </c>
      <c r="AF439" s="696">
        <f t="shared" si="1195"/>
        <v>0</v>
      </c>
      <c r="AG439" s="88">
        <f t="shared" si="1176"/>
        <v>0</v>
      </c>
      <c r="AH439" s="814">
        <f t="shared" ref="AH439:AO439" si="1196">AH108</f>
        <v>930234.37500000012</v>
      </c>
      <c r="AI439" s="814">
        <f t="shared" si="1196"/>
        <v>3386053.125</v>
      </c>
      <c r="AJ439" s="814">
        <f t="shared" si="1196"/>
        <v>7473502.96875</v>
      </c>
      <c r="AK439" s="814">
        <f t="shared" si="1196"/>
        <v>15245946.05625</v>
      </c>
      <c r="AL439" s="814">
        <f t="shared" si="1196"/>
        <v>22584328.091324996</v>
      </c>
      <c r="AM439" s="814">
        <f t="shared" si="1196"/>
        <v>26690569.562474996</v>
      </c>
      <c r="AN439" s="814">
        <f t="shared" si="1196"/>
        <v>30796811.033624992</v>
      </c>
      <c r="AO439" s="979">
        <f t="shared" si="1196"/>
        <v>34903052.504774988</v>
      </c>
      <c r="AP439" s="991"/>
      <c r="AR439" s="991"/>
      <c r="AS439" s="991"/>
      <c r="AT439" s="991"/>
      <c r="AU439" s="991"/>
      <c r="AV439" s="991"/>
      <c r="AW439" s="991"/>
      <c r="AX439" s="991"/>
      <c r="AY439" s="991"/>
      <c r="AZ439" s="991"/>
      <c r="BA439" s="991"/>
      <c r="BB439" s="991"/>
      <c r="BC439" s="991"/>
      <c r="BD439" s="991"/>
      <c r="BE439" s="991"/>
      <c r="BF439" s="991"/>
      <c r="BG439" s="991"/>
      <c r="BH439" s="991"/>
      <c r="BI439" s="991"/>
      <c r="BJ439" s="991"/>
      <c r="BK439" s="405"/>
      <c r="BM439" s="991"/>
      <c r="BN439" s="991"/>
      <c r="BO439" s="991"/>
      <c r="BP439" s="991"/>
      <c r="BQ439" s="991"/>
      <c r="BR439" s="991"/>
      <c r="BS439" s="991"/>
      <c r="BT439" s="991"/>
      <c r="BU439" s="991"/>
      <c r="BV439" s="991"/>
      <c r="BW439" s="991"/>
      <c r="BX439" s="991"/>
      <c r="BY439" s="991"/>
      <c r="BZ439" s="991"/>
      <c r="CA439" s="991"/>
      <c r="CB439" s="991"/>
      <c r="CC439" s="991"/>
      <c r="CD439" s="991"/>
      <c r="CE439" s="991"/>
    </row>
    <row r="440" spans="1:83" s="18" customFormat="1" ht="13.15" customHeight="1" x14ac:dyDescent="0.2">
      <c r="A440" s="664" t="s">
        <v>417</v>
      </c>
      <c r="B440" s="856"/>
      <c r="C440" s="696">
        <f t="shared" ref="C440:E440" si="1197">C135</f>
        <v>0</v>
      </c>
      <c r="D440" s="696">
        <f t="shared" si="1197"/>
        <v>0</v>
      </c>
      <c r="E440" s="696">
        <f t="shared" si="1197"/>
        <v>0</v>
      </c>
      <c r="F440" s="696">
        <f t="shared" ref="F440" si="1198">F135</f>
        <v>0</v>
      </c>
      <c r="G440" s="88">
        <f t="shared" si="1180"/>
        <v>0</v>
      </c>
      <c r="H440" s="696">
        <f t="shared" ref="H440:M440" si="1199">H135</f>
        <v>0</v>
      </c>
      <c r="I440" s="696">
        <f t="shared" si="1199"/>
        <v>0</v>
      </c>
      <c r="J440" s="696">
        <f t="shared" si="1199"/>
        <v>0</v>
      </c>
      <c r="K440" s="696">
        <f t="shared" si="1199"/>
        <v>0</v>
      </c>
      <c r="L440" s="696">
        <f t="shared" si="1199"/>
        <v>0</v>
      </c>
      <c r="M440" s="696">
        <f t="shared" si="1199"/>
        <v>0</v>
      </c>
      <c r="N440" s="696">
        <f t="shared" ref="N440:S440" si="1200">N135</f>
        <v>0</v>
      </c>
      <c r="O440" s="696">
        <f t="shared" si="1200"/>
        <v>0</v>
      </c>
      <c r="P440" s="696">
        <f t="shared" si="1200"/>
        <v>0</v>
      </c>
      <c r="Q440" s="696">
        <f t="shared" si="1200"/>
        <v>0</v>
      </c>
      <c r="R440" s="696">
        <f t="shared" si="1200"/>
        <v>0</v>
      </c>
      <c r="S440" s="696">
        <f t="shared" si="1200"/>
        <v>0</v>
      </c>
      <c r="T440" s="88">
        <f t="shared" si="1174"/>
        <v>0</v>
      </c>
      <c r="U440" s="696">
        <f t="shared" ref="U440:AF440" si="1201">U135</f>
        <v>0</v>
      </c>
      <c r="V440" s="696">
        <f t="shared" si="1201"/>
        <v>0</v>
      </c>
      <c r="W440" s="696">
        <f t="shared" si="1201"/>
        <v>0</v>
      </c>
      <c r="X440" s="696">
        <f t="shared" si="1201"/>
        <v>0</v>
      </c>
      <c r="Y440" s="696">
        <f t="shared" si="1201"/>
        <v>0</v>
      </c>
      <c r="Z440" s="696">
        <f t="shared" si="1201"/>
        <v>0</v>
      </c>
      <c r="AA440" s="696">
        <f t="shared" si="1201"/>
        <v>0</v>
      </c>
      <c r="AB440" s="696">
        <f t="shared" si="1201"/>
        <v>0</v>
      </c>
      <c r="AC440" s="696">
        <f t="shared" si="1201"/>
        <v>0</v>
      </c>
      <c r="AD440" s="696">
        <f t="shared" si="1201"/>
        <v>0</v>
      </c>
      <c r="AE440" s="696">
        <f t="shared" si="1201"/>
        <v>0</v>
      </c>
      <c r="AF440" s="696">
        <f t="shared" si="1201"/>
        <v>0</v>
      </c>
      <c r="AG440" s="88">
        <f t="shared" si="1176"/>
        <v>0</v>
      </c>
      <c r="AH440" s="814">
        <f t="shared" ref="AH440:AO440" si="1202">AH135</f>
        <v>289406.25000000006</v>
      </c>
      <c r="AI440" s="814">
        <f t="shared" si="1202"/>
        <v>1053438.7500000002</v>
      </c>
      <c r="AJ440" s="814">
        <f t="shared" si="1202"/>
        <v>2325089.8125000009</v>
      </c>
      <c r="AK440" s="814">
        <f t="shared" si="1202"/>
        <v>4743183.2175000012</v>
      </c>
      <c r="AL440" s="814">
        <f t="shared" si="1202"/>
        <v>7026235.4061900005</v>
      </c>
      <c r="AM440" s="814">
        <f t="shared" si="1202"/>
        <v>8303732.7527700001</v>
      </c>
      <c r="AN440" s="814">
        <f t="shared" si="1202"/>
        <v>9581230.0993499979</v>
      </c>
      <c r="AO440" s="979">
        <f t="shared" si="1202"/>
        <v>10858727.445929999</v>
      </c>
      <c r="AP440" s="991"/>
      <c r="AR440" s="991"/>
      <c r="AS440" s="991"/>
      <c r="AT440" s="991"/>
      <c r="AU440" s="991"/>
      <c r="AV440" s="991"/>
      <c r="AW440" s="991"/>
      <c r="AX440" s="991"/>
      <c r="AY440" s="991"/>
      <c r="AZ440" s="991"/>
      <c r="BA440" s="991"/>
      <c r="BB440" s="991"/>
      <c r="BC440" s="991"/>
      <c r="BD440" s="991"/>
      <c r="BE440" s="991"/>
      <c r="BF440" s="991"/>
      <c r="BG440" s="991"/>
      <c r="BH440" s="991"/>
      <c r="BI440" s="991"/>
      <c r="BJ440" s="991"/>
      <c r="BK440" s="405"/>
      <c r="BM440" s="991"/>
      <c r="BN440" s="991"/>
      <c r="BO440" s="991"/>
      <c r="BP440" s="991"/>
      <c r="BQ440" s="991"/>
      <c r="BR440" s="991"/>
      <c r="BS440" s="991"/>
      <c r="BT440" s="991"/>
      <c r="BU440" s="991"/>
      <c r="BV440" s="991"/>
      <c r="BW440" s="991"/>
      <c r="BX440" s="991"/>
      <c r="BY440" s="991"/>
      <c r="BZ440" s="991"/>
      <c r="CA440" s="991"/>
      <c r="CB440" s="991"/>
      <c r="CC440" s="991"/>
      <c r="CD440" s="991"/>
      <c r="CE440" s="991"/>
    </row>
    <row r="441" spans="1:83" s="18" customFormat="1" ht="13.15" customHeight="1" x14ac:dyDescent="0.2">
      <c r="A441" s="664" t="s">
        <v>418</v>
      </c>
      <c r="B441" s="856"/>
      <c r="C441" s="696">
        <f t="shared" ref="C441:E441" si="1203">C162</f>
        <v>0</v>
      </c>
      <c r="D441" s="696">
        <f t="shared" si="1203"/>
        <v>0</v>
      </c>
      <c r="E441" s="696">
        <f t="shared" si="1203"/>
        <v>0</v>
      </c>
      <c r="F441" s="696">
        <f t="shared" ref="F441" si="1204">F162</f>
        <v>0</v>
      </c>
      <c r="G441" s="88">
        <f t="shared" si="1180"/>
        <v>0</v>
      </c>
      <c r="H441" s="696">
        <f t="shared" ref="H441:M441" si="1205">H162</f>
        <v>0</v>
      </c>
      <c r="I441" s="696">
        <f t="shared" si="1205"/>
        <v>0</v>
      </c>
      <c r="J441" s="696">
        <f t="shared" si="1205"/>
        <v>0</v>
      </c>
      <c r="K441" s="696">
        <f t="shared" si="1205"/>
        <v>0</v>
      </c>
      <c r="L441" s="696">
        <f t="shared" si="1205"/>
        <v>0</v>
      </c>
      <c r="M441" s="696">
        <f t="shared" si="1205"/>
        <v>0</v>
      </c>
      <c r="N441" s="696">
        <f t="shared" ref="N441:S441" si="1206">N162</f>
        <v>0</v>
      </c>
      <c r="O441" s="696">
        <f t="shared" si="1206"/>
        <v>0</v>
      </c>
      <c r="P441" s="696">
        <f t="shared" si="1206"/>
        <v>0</v>
      </c>
      <c r="Q441" s="696">
        <f t="shared" si="1206"/>
        <v>0</v>
      </c>
      <c r="R441" s="696">
        <f t="shared" si="1206"/>
        <v>0</v>
      </c>
      <c r="S441" s="696">
        <f t="shared" si="1206"/>
        <v>0</v>
      </c>
      <c r="T441" s="88">
        <f t="shared" si="1174"/>
        <v>0</v>
      </c>
      <c r="U441" s="696">
        <f t="shared" ref="U441:AF441" si="1207">U162</f>
        <v>0</v>
      </c>
      <c r="V441" s="696">
        <f t="shared" si="1207"/>
        <v>0</v>
      </c>
      <c r="W441" s="696">
        <f t="shared" si="1207"/>
        <v>0</v>
      </c>
      <c r="X441" s="696">
        <f t="shared" si="1207"/>
        <v>0</v>
      </c>
      <c r="Y441" s="696">
        <f t="shared" si="1207"/>
        <v>0</v>
      </c>
      <c r="Z441" s="696">
        <f t="shared" si="1207"/>
        <v>0</v>
      </c>
      <c r="AA441" s="696">
        <f t="shared" si="1207"/>
        <v>0</v>
      </c>
      <c r="AB441" s="696">
        <f t="shared" si="1207"/>
        <v>0</v>
      </c>
      <c r="AC441" s="696">
        <f t="shared" si="1207"/>
        <v>0</v>
      </c>
      <c r="AD441" s="696">
        <f t="shared" si="1207"/>
        <v>0</v>
      </c>
      <c r="AE441" s="696">
        <f t="shared" si="1207"/>
        <v>0</v>
      </c>
      <c r="AF441" s="696">
        <f t="shared" si="1207"/>
        <v>0</v>
      </c>
      <c r="AG441" s="88">
        <f t="shared" si="1176"/>
        <v>0</v>
      </c>
      <c r="AH441" s="814">
        <f t="shared" ref="AH441:AO441" si="1208">AH162</f>
        <v>260465.62500000006</v>
      </c>
      <c r="AI441" s="814">
        <f t="shared" si="1208"/>
        <v>948094.87500000012</v>
      </c>
      <c r="AJ441" s="814">
        <f t="shared" si="1208"/>
        <v>2092580.8312500005</v>
      </c>
      <c r="AK441" s="814">
        <f t="shared" si="1208"/>
        <v>4268864.895750002</v>
      </c>
      <c r="AL441" s="814">
        <f t="shared" si="1208"/>
        <v>6323611.8655710006</v>
      </c>
      <c r="AM441" s="814">
        <f t="shared" si="1208"/>
        <v>7473359.4774930011</v>
      </c>
      <c r="AN441" s="814">
        <f t="shared" si="1208"/>
        <v>8623107.0894149989</v>
      </c>
      <c r="AO441" s="979">
        <f t="shared" si="1208"/>
        <v>9772854.7013370004</v>
      </c>
      <c r="AP441" s="991"/>
      <c r="AR441" s="991"/>
      <c r="AS441" s="991"/>
      <c r="AT441" s="991"/>
      <c r="AU441" s="991"/>
      <c r="AV441" s="991"/>
      <c r="AW441" s="991"/>
      <c r="AX441" s="991"/>
      <c r="AY441" s="991"/>
      <c r="AZ441" s="991"/>
      <c r="BA441" s="991"/>
      <c r="BB441" s="991"/>
      <c r="BC441" s="991"/>
      <c r="BD441" s="991"/>
      <c r="BE441" s="991"/>
      <c r="BF441" s="991"/>
      <c r="BG441" s="991"/>
      <c r="BH441" s="991"/>
      <c r="BI441" s="991"/>
      <c r="BJ441" s="991"/>
      <c r="BK441" s="405"/>
      <c r="BM441" s="991"/>
      <c r="BN441" s="991"/>
      <c r="BO441" s="991"/>
      <c r="BP441" s="991"/>
      <c r="BQ441" s="991"/>
      <c r="BR441" s="991"/>
      <c r="BS441" s="991"/>
      <c r="BT441" s="991"/>
      <c r="BU441" s="991"/>
      <c r="BV441" s="991"/>
      <c r="BW441" s="991"/>
      <c r="BX441" s="991"/>
      <c r="BY441" s="991"/>
      <c r="BZ441" s="991"/>
      <c r="CA441" s="991"/>
      <c r="CB441" s="991"/>
      <c r="CC441" s="991"/>
      <c r="CD441" s="991"/>
      <c r="CE441" s="991"/>
    </row>
    <row r="442" spans="1:83" s="18" customFormat="1" ht="13.15" customHeight="1" x14ac:dyDescent="0.2">
      <c r="A442" s="664" t="s">
        <v>430</v>
      </c>
      <c r="B442" s="856"/>
      <c r="C442" s="696">
        <f t="shared" ref="C442:E442" si="1209">C189</f>
        <v>0</v>
      </c>
      <c r="D442" s="696">
        <f t="shared" si="1209"/>
        <v>0</v>
      </c>
      <c r="E442" s="696">
        <f t="shared" si="1209"/>
        <v>0</v>
      </c>
      <c r="F442" s="696">
        <f t="shared" ref="F442:G442" si="1210">F189</f>
        <v>0</v>
      </c>
      <c r="G442" s="814">
        <f t="shared" si="1210"/>
        <v>0</v>
      </c>
      <c r="H442" s="696">
        <f t="shared" ref="H442:M442" si="1211">H189</f>
        <v>0</v>
      </c>
      <c r="I442" s="696">
        <f t="shared" si="1211"/>
        <v>0</v>
      </c>
      <c r="J442" s="696">
        <f t="shared" si="1211"/>
        <v>0</v>
      </c>
      <c r="K442" s="696">
        <f t="shared" si="1211"/>
        <v>0</v>
      </c>
      <c r="L442" s="696">
        <f t="shared" si="1211"/>
        <v>0</v>
      </c>
      <c r="M442" s="696">
        <f t="shared" si="1211"/>
        <v>0</v>
      </c>
      <c r="N442" s="696">
        <f t="shared" ref="N442:AO442" si="1212">N189</f>
        <v>0</v>
      </c>
      <c r="O442" s="696">
        <f t="shared" si="1212"/>
        <v>0</v>
      </c>
      <c r="P442" s="696">
        <f t="shared" si="1212"/>
        <v>0</v>
      </c>
      <c r="Q442" s="696">
        <f t="shared" si="1212"/>
        <v>0</v>
      </c>
      <c r="R442" s="696">
        <f t="shared" si="1212"/>
        <v>0</v>
      </c>
      <c r="S442" s="696">
        <f t="shared" si="1212"/>
        <v>0</v>
      </c>
      <c r="T442" s="814">
        <f t="shared" si="1212"/>
        <v>0</v>
      </c>
      <c r="U442" s="696">
        <f t="shared" si="1212"/>
        <v>0</v>
      </c>
      <c r="V442" s="696">
        <f t="shared" si="1212"/>
        <v>0</v>
      </c>
      <c r="W442" s="696">
        <f t="shared" si="1212"/>
        <v>0</v>
      </c>
      <c r="X442" s="696">
        <f t="shared" si="1212"/>
        <v>0</v>
      </c>
      <c r="Y442" s="696">
        <f t="shared" si="1212"/>
        <v>0</v>
      </c>
      <c r="Z442" s="696">
        <f t="shared" si="1212"/>
        <v>0</v>
      </c>
      <c r="AA442" s="696">
        <f t="shared" si="1212"/>
        <v>0</v>
      </c>
      <c r="AB442" s="696">
        <f t="shared" si="1212"/>
        <v>0</v>
      </c>
      <c r="AC442" s="696">
        <f t="shared" si="1212"/>
        <v>0</v>
      </c>
      <c r="AD442" s="696">
        <f t="shared" si="1212"/>
        <v>0</v>
      </c>
      <c r="AE442" s="696">
        <f t="shared" si="1212"/>
        <v>0</v>
      </c>
      <c r="AF442" s="696">
        <f t="shared" si="1212"/>
        <v>0</v>
      </c>
      <c r="AG442" s="814">
        <f t="shared" si="1212"/>
        <v>0</v>
      </c>
      <c r="AH442" s="814">
        <f t="shared" si="1212"/>
        <v>148837.50000000003</v>
      </c>
      <c r="AI442" s="814">
        <f t="shared" si="1212"/>
        <v>619164</v>
      </c>
      <c r="AJ442" s="814">
        <f t="shared" si="1212"/>
        <v>1434912.5699999998</v>
      </c>
      <c r="AK442" s="814">
        <f t="shared" si="1212"/>
        <v>2927221.6428</v>
      </c>
      <c r="AL442" s="814">
        <f t="shared" si="1212"/>
        <v>4982239.6516619995</v>
      </c>
      <c r="AM442" s="814">
        <f t="shared" si="1212"/>
        <v>6569986.35384</v>
      </c>
      <c r="AN442" s="814">
        <f t="shared" si="1212"/>
        <v>7664984.0794800017</v>
      </c>
      <c r="AO442" s="979">
        <f t="shared" si="1212"/>
        <v>8759981.8051200006</v>
      </c>
      <c r="AP442" s="991"/>
      <c r="AR442" s="991"/>
      <c r="AS442" s="991"/>
      <c r="AT442" s="991"/>
      <c r="AU442" s="991"/>
      <c r="AV442" s="991"/>
      <c r="AW442" s="991"/>
      <c r="AX442" s="991"/>
      <c r="AY442" s="991"/>
      <c r="AZ442" s="991"/>
      <c r="BA442" s="991"/>
      <c r="BB442" s="991"/>
      <c r="BC442" s="991"/>
      <c r="BD442" s="991"/>
      <c r="BE442" s="991"/>
      <c r="BF442" s="991"/>
      <c r="BG442" s="991"/>
      <c r="BH442" s="991"/>
      <c r="BI442" s="991"/>
      <c r="BJ442" s="991"/>
      <c r="BK442" s="405"/>
      <c r="BM442" s="991"/>
      <c r="BN442" s="991"/>
      <c r="BO442" s="991"/>
      <c r="BP442" s="991"/>
      <c r="BQ442" s="991"/>
      <c r="BR442" s="991"/>
      <c r="BS442" s="991"/>
      <c r="BT442" s="991"/>
      <c r="BU442" s="991"/>
      <c r="BV442" s="991"/>
      <c r="BW442" s="991"/>
      <c r="BX442" s="991"/>
      <c r="BY442" s="991"/>
      <c r="BZ442" s="991"/>
      <c r="CA442" s="991"/>
      <c r="CB442" s="991"/>
      <c r="CC442" s="991"/>
      <c r="CD442" s="991"/>
      <c r="CE442" s="991"/>
    </row>
    <row r="443" spans="1:83" s="18" customFormat="1" ht="13.15" customHeight="1" x14ac:dyDescent="0.2">
      <c r="A443" s="664" t="s">
        <v>431</v>
      </c>
      <c r="B443" s="856"/>
      <c r="C443" s="696">
        <f t="shared" ref="C443:E443" si="1213">C216</f>
        <v>0</v>
      </c>
      <c r="D443" s="696">
        <f t="shared" si="1213"/>
        <v>0</v>
      </c>
      <c r="E443" s="696">
        <f t="shared" si="1213"/>
        <v>0</v>
      </c>
      <c r="F443" s="696">
        <f t="shared" ref="F443:G443" si="1214">F216</f>
        <v>0</v>
      </c>
      <c r="G443" s="814">
        <f t="shared" si="1214"/>
        <v>0</v>
      </c>
      <c r="H443" s="696">
        <f t="shared" ref="H443:M443" si="1215">H216</f>
        <v>0</v>
      </c>
      <c r="I443" s="696">
        <f t="shared" si="1215"/>
        <v>0</v>
      </c>
      <c r="J443" s="696">
        <f t="shared" si="1215"/>
        <v>0</v>
      </c>
      <c r="K443" s="696">
        <f t="shared" si="1215"/>
        <v>0</v>
      </c>
      <c r="L443" s="696">
        <f t="shared" si="1215"/>
        <v>0</v>
      </c>
      <c r="M443" s="696">
        <f t="shared" si="1215"/>
        <v>0</v>
      </c>
      <c r="N443" s="696">
        <f t="shared" ref="N443:AO443" si="1216">N216</f>
        <v>0</v>
      </c>
      <c r="O443" s="696">
        <f t="shared" si="1216"/>
        <v>0</v>
      </c>
      <c r="P443" s="696">
        <f t="shared" si="1216"/>
        <v>0</v>
      </c>
      <c r="Q443" s="696">
        <f t="shared" si="1216"/>
        <v>0</v>
      </c>
      <c r="R443" s="696">
        <f t="shared" si="1216"/>
        <v>0</v>
      </c>
      <c r="S443" s="696">
        <f t="shared" si="1216"/>
        <v>0</v>
      </c>
      <c r="T443" s="814">
        <f t="shared" si="1216"/>
        <v>0</v>
      </c>
      <c r="U443" s="696">
        <f t="shared" si="1216"/>
        <v>0</v>
      </c>
      <c r="V443" s="696">
        <f t="shared" si="1216"/>
        <v>0</v>
      </c>
      <c r="W443" s="696">
        <f t="shared" si="1216"/>
        <v>0</v>
      </c>
      <c r="X443" s="696">
        <f t="shared" si="1216"/>
        <v>0</v>
      </c>
      <c r="Y443" s="696">
        <f t="shared" si="1216"/>
        <v>0</v>
      </c>
      <c r="Z443" s="696">
        <f t="shared" si="1216"/>
        <v>0</v>
      </c>
      <c r="AA443" s="696">
        <f t="shared" si="1216"/>
        <v>0</v>
      </c>
      <c r="AB443" s="696">
        <f t="shared" si="1216"/>
        <v>0</v>
      </c>
      <c r="AC443" s="696">
        <f t="shared" si="1216"/>
        <v>0</v>
      </c>
      <c r="AD443" s="696">
        <f t="shared" si="1216"/>
        <v>0</v>
      </c>
      <c r="AE443" s="696">
        <f t="shared" si="1216"/>
        <v>0</v>
      </c>
      <c r="AF443" s="696">
        <f t="shared" si="1216"/>
        <v>0</v>
      </c>
      <c r="AG443" s="814">
        <f t="shared" si="1216"/>
        <v>0</v>
      </c>
      <c r="AH443" s="814">
        <f t="shared" si="1216"/>
        <v>119070.00000000001</v>
      </c>
      <c r="AI443" s="814">
        <f t="shared" si="1216"/>
        <v>495331.2</v>
      </c>
      <c r="AJ443" s="814">
        <f t="shared" si="1216"/>
        <v>1147930.0559999999</v>
      </c>
      <c r="AK443" s="814">
        <f t="shared" si="1216"/>
        <v>2341777.3142399997</v>
      </c>
      <c r="AL443" s="814">
        <f t="shared" si="1216"/>
        <v>3985791.7213296001</v>
      </c>
      <c r="AM443" s="814">
        <f t="shared" si="1216"/>
        <v>5255989.0830720002</v>
      </c>
      <c r="AN443" s="814">
        <f t="shared" si="1216"/>
        <v>6131987.2635840019</v>
      </c>
      <c r="AO443" s="979">
        <f t="shared" si="1216"/>
        <v>7007985.4440960009</v>
      </c>
      <c r="AP443" s="991"/>
      <c r="AR443" s="991"/>
      <c r="AS443" s="991"/>
      <c r="AT443" s="991"/>
      <c r="AU443" s="991"/>
      <c r="AV443" s="991"/>
      <c r="AW443" s="991"/>
      <c r="AX443" s="991"/>
      <c r="AY443" s="991"/>
      <c r="AZ443" s="991"/>
      <c r="BA443" s="991"/>
      <c r="BB443" s="991"/>
      <c r="BC443" s="991"/>
      <c r="BD443" s="991"/>
      <c r="BE443" s="991"/>
      <c r="BF443" s="991"/>
      <c r="BG443" s="991"/>
      <c r="BH443" s="991"/>
      <c r="BI443" s="991"/>
      <c r="BJ443" s="991"/>
      <c r="BK443" s="405"/>
      <c r="BM443" s="991"/>
      <c r="BN443" s="991"/>
      <c r="BO443" s="991"/>
      <c r="BP443" s="991"/>
      <c r="BQ443" s="991"/>
      <c r="BR443" s="991"/>
      <c r="BS443" s="991"/>
      <c r="BT443" s="991"/>
      <c r="BU443" s="991"/>
      <c r="BV443" s="991"/>
      <c r="BW443" s="991"/>
      <c r="BX443" s="991"/>
      <c r="BY443" s="991"/>
      <c r="BZ443" s="991"/>
      <c r="CA443" s="991"/>
      <c r="CB443" s="991"/>
      <c r="CC443" s="991"/>
      <c r="CD443" s="991"/>
      <c r="CE443" s="991"/>
    </row>
    <row r="444" spans="1:83" s="18" customFormat="1" ht="13.15" customHeight="1" x14ac:dyDescent="0.2">
      <c r="A444" s="664" t="s">
        <v>432</v>
      </c>
      <c r="B444" s="856"/>
      <c r="C444" s="696">
        <f t="shared" ref="C444:E444" si="1217">C243</f>
        <v>0</v>
      </c>
      <c r="D444" s="696">
        <f t="shared" si="1217"/>
        <v>0</v>
      </c>
      <c r="E444" s="696">
        <f t="shared" si="1217"/>
        <v>0</v>
      </c>
      <c r="F444" s="696">
        <f t="shared" ref="F444:G444" si="1218">F243</f>
        <v>0</v>
      </c>
      <c r="G444" s="814">
        <f t="shared" si="1218"/>
        <v>0</v>
      </c>
      <c r="H444" s="696">
        <f t="shared" ref="H444:M444" si="1219">H243</f>
        <v>0</v>
      </c>
      <c r="I444" s="696">
        <f t="shared" si="1219"/>
        <v>0</v>
      </c>
      <c r="J444" s="696">
        <f t="shared" si="1219"/>
        <v>0</v>
      </c>
      <c r="K444" s="696">
        <f t="shared" si="1219"/>
        <v>0</v>
      </c>
      <c r="L444" s="696">
        <f t="shared" si="1219"/>
        <v>0</v>
      </c>
      <c r="M444" s="696">
        <f t="shared" si="1219"/>
        <v>0</v>
      </c>
      <c r="N444" s="696">
        <f t="shared" ref="N444:AO444" si="1220">N243</f>
        <v>0</v>
      </c>
      <c r="O444" s="696">
        <f t="shared" si="1220"/>
        <v>0</v>
      </c>
      <c r="P444" s="696">
        <f t="shared" si="1220"/>
        <v>0</v>
      </c>
      <c r="Q444" s="696">
        <f t="shared" si="1220"/>
        <v>0</v>
      </c>
      <c r="R444" s="696">
        <f t="shared" si="1220"/>
        <v>0</v>
      </c>
      <c r="S444" s="696">
        <f t="shared" si="1220"/>
        <v>0</v>
      </c>
      <c r="T444" s="814">
        <f t="shared" si="1220"/>
        <v>0</v>
      </c>
      <c r="U444" s="696">
        <f t="shared" si="1220"/>
        <v>0</v>
      </c>
      <c r="V444" s="696">
        <f t="shared" si="1220"/>
        <v>0</v>
      </c>
      <c r="W444" s="696">
        <f t="shared" si="1220"/>
        <v>0</v>
      </c>
      <c r="X444" s="696">
        <f t="shared" si="1220"/>
        <v>0</v>
      </c>
      <c r="Y444" s="696">
        <f t="shared" si="1220"/>
        <v>0</v>
      </c>
      <c r="Z444" s="696">
        <f t="shared" si="1220"/>
        <v>0</v>
      </c>
      <c r="AA444" s="696">
        <f t="shared" si="1220"/>
        <v>0</v>
      </c>
      <c r="AB444" s="696">
        <f t="shared" si="1220"/>
        <v>0</v>
      </c>
      <c r="AC444" s="696">
        <f t="shared" si="1220"/>
        <v>0</v>
      </c>
      <c r="AD444" s="696">
        <f t="shared" si="1220"/>
        <v>0</v>
      </c>
      <c r="AE444" s="696">
        <f t="shared" si="1220"/>
        <v>0</v>
      </c>
      <c r="AF444" s="696">
        <f t="shared" si="1220"/>
        <v>0</v>
      </c>
      <c r="AG444" s="814">
        <f t="shared" si="1220"/>
        <v>0</v>
      </c>
      <c r="AH444" s="814">
        <f t="shared" si="1220"/>
        <v>66976.875</v>
      </c>
      <c r="AI444" s="814">
        <f t="shared" si="1220"/>
        <v>278623.8</v>
      </c>
      <c r="AJ444" s="814">
        <f t="shared" si="1220"/>
        <v>645710.65649999992</v>
      </c>
      <c r="AK444" s="814">
        <f t="shared" si="1220"/>
        <v>1317249.7392600002</v>
      </c>
      <c r="AL444" s="814">
        <f t="shared" si="1220"/>
        <v>2242007.8432479003</v>
      </c>
      <c r="AM444" s="814">
        <f t="shared" si="1220"/>
        <v>2956493.859228</v>
      </c>
      <c r="AN444" s="814">
        <f t="shared" si="1220"/>
        <v>3449242.8357660007</v>
      </c>
      <c r="AO444" s="979">
        <f t="shared" si="1220"/>
        <v>3941991.8123040008</v>
      </c>
      <c r="AP444" s="991"/>
      <c r="AR444" s="991"/>
      <c r="AS444" s="991"/>
      <c r="AT444" s="991"/>
      <c r="AU444" s="991"/>
      <c r="AV444" s="991"/>
      <c r="AW444" s="991"/>
      <c r="AX444" s="991"/>
      <c r="AY444" s="991"/>
      <c r="AZ444" s="991"/>
      <c r="BA444" s="991"/>
      <c r="BB444" s="991"/>
      <c r="BC444" s="991"/>
      <c r="BD444" s="991"/>
      <c r="BE444" s="991"/>
      <c r="BF444" s="991"/>
      <c r="BG444" s="991"/>
      <c r="BH444" s="991"/>
      <c r="BI444" s="991"/>
      <c r="BJ444" s="991"/>
      <c r="BK444" s="405"/>
      <c r="BM444" s="991"/>
      <c r="BN444" s="991"/>
      <c r="BO444" s="991"/>
      <c r="BP444" s="991"/>
      <c r="BQ444" s="991"/>
      <c r="BR444" s="991"/>
      <c r="BS444" s="991"/>
      <c r="BT444" s="991"/>
      <c r="BU444" s="991"/>
      <c r="BV444" s="991"/>
      <c r="BW444" s="991"/>
      <c r="BX444" s="991"/>
      <c r="BY444" s="991"/>
      <c r="BZ444" s="991"/>
      <c r="CA444" s="991"/>
      <c r="CB444" s="991"/>
      <c r="CC444" s="991"/>
      <c r="CD444" s="991"/>
      <c r="CE444" s="991"/>
    </row>
    <row r="445" spans="1:83" s="18" customFormat="1" ht="13.15" customHeight="1" x14ac:dyDescent="0.2">
      <c r="A445" s="664" t="s">
        <v>433</v>
      </c>
      <c r="B445" s="856"/>
      <c r="C445" s="696">
        <f t="shared" ref="C445:E445" si="1221">C270</f>
        <v>0</v>
      </c>
      <c r="D445" s="696">
        <f t="shared" si="1221"/>
        <v>0</v>
      </c>
      <c r="E445" s="696">
        <f t="shared" si="1221"/>
        <v>0</v>
      </c>
      <c r="F445" s="696">
        <f t="shared" ref="F445:G445" si="1222">F270</f>
        <v>0</v>
      </c>
      <c r="G445" s="814">
        <f t="shared" si="1222"/>
        <v>0</v>
      </c>
      <c r="H445" s="696">
        <f t="shared" ref="H445:M445" si="1223">H270</f>
        <v>0</v>
      </c>
      <c r="I445" s="696">
        <f t="shared" si="1223"/>
        <v>0</v>
      </c>
      <c r="J445" s="696">
        <f t="shared" si="1223"/>
        <v>0</v>
      </c>
      <c r="K445" s="696">
        <f t="shared" si="1223"/>
        <v>0</v>
      </c>
      <c r="L445" s="696">
        <f t="shared" si="1223"/>
        <v>0</v>
      </c>
      <c r="M445" s="696">
        <f t="shared" si="1223"/>
        <v>0</v>
      </c>
      <c r="N445" s="696">
        <f t="shared" ref="N445:AO445" si="1224">N270</f>
        <v>0</v>
      </c>
      <c r="O445" s="696">
        <f t="shared" si="1224"/>
        <v>0</v>
      </c>
      <c r="P445" s="696">
        <f t="shared" si="1224"/>
        <v>0</v>
      </c>
      <c r="Q445" s="696">
        <f t="shared" si="1224"/>
        <v>0</v>
      </c>
      <c r="R445" s="696">
        <f t="shared" si="1224"/>
        <v>0</v>
      </c>
      <c r="S445" s="696">
        <f t="shared" si="1224"/>
        <v>0</v>
      </c>
      <c r="T445" s="814">
        <f t="shared" si="1224"/>
        <v>0</v>
      </c>
      <c r="U445" s="696">
        <f t="shared" si="1224"/>
        <v>0</v>
      </c>
      <c r="V445" s="696">
        <f t="shared" si="1224"/>
        <v>0</v>
      </c>
      <c r="W445" s="696">
        <f t="shared" si="1224"/>
        <v>0</v>
      </c>
      <c r="X445" s="696">
        <f t="shared" si="1224"/>
        <v>0</v>
      </c>
      <c r="Y445" s="696">
        <f t="shared" si="1224"/>
        <v>0</v>
      </c>
      <c r="Z445" s="696">
        <f t="shared" si="1224"/>
        <v>0</v>
      </c>
      <c r="AA445" s="696">
        <f t="shared" si="1224"/>
        <v>0</v>
      </c>
      <c r="AB445" s="696">
        <f t="shared" si="1224"/>
        <v>0</v>
      </c>
      <c r="AC445" s="696">
        <f t="shared" si="1224"/>
        <v>0</v>
      </c>
      <c r="AD445" s="696">
        <f t="shared" si="1224"/>
        <v>0</v>
      </c>
      <c r="AE445" s="696">
        <f t="shared" si="1224"/>
        <v>0</v>
      </c>
      <c r="AF445" s="696">
        <f t="shared" si="1224"/>
        <v>0</v>
      </c>
      <c r="AG445" s="814">
        <f t="shared" si="1224"/>
        <v>0</v>
      </c>
      <c r="AH445" s="814">
        <f t="shared" si="1224"/>
        <v>0</v>
      </c>
      <c r="AI445" s="814">
        <f t="shared" si="1224"/>
        <v>101044.12500000003</v>
      </c>
      <c r="AJ445" s="814">
        <f t="shared" si="1224"/>
        <v>364264.07062500005</v>
      </c>
      <c r="AK445" s="814">
        <f t="shared" si="1224"/>
        <v>796177.18293750018</v>
      </c>
      <c r="AL445" s="814">
        <f t="shared" si="1224"/>
        <v>1608277.9095337503</v>
      </c>
      <c r="AM445" s="814">
        <f t="shared" si="1224"/>
        <v>2358807.6006495007</v>
      </c>
      <c r="AN445" s="814">
        <f t="shared" si="1224"/>
        <v>2787681.7098585009</v>
      </c>
      <c r="AO445" s="979">
        <f t="shared" si="1224"/>
        <v>3216555.8190675001</v>
      </c>
      <c r="AP445" s="991"/>
      <c r="AR445" s="991"/>
      <c r="AS445" s="991"/>
      <c r="AT445" s="991"/>
      <c r="AU445" s="991"/>
      <c r="AV445" s="991"/>
      <c r="AW445" s="991"/>
      <c r="AX445" s="991"/>
      <c r="AY445" s="991"/>
      <c r="AZ445" s="991"/>
      <c r="BA445" s="991"/>
      <c r="BB445" s="991"/>
      <c r="BC445" s="991"/>
      <c r="BD445" s="991"/>
      <c r="BE445" s="991"/>
      <c r="BF445" s="991"/>
      <c r="BG445" s="991"/>
      <c r="BH445" s="991"/>
      <c r="BI445" s="991"/>
      <c r="BJ445" s="991"/>
      <c r="BK445" s="405"/>
      <c r="BM445" s="991"/>
      <c r="BN445" s="991"/>
      <c r="BO445" s="991"/>
      <c r="BP445" s="991"/>
      <c r="BQ445" s="991"/>
      <c r="BR445" s="991"/>
      <c r="BS445" s="991"/>
      <c r="BT445" s="991"/>
      <c r="BU445" s="991"/>
      <c r="BV445" s="991"/>
      <c r="BW445" s="991"/>
      <c r="BX445" s="991"/>
      <c r="BY445" s="991"/>
      <c r="BZ445" s="991"/>
      <c r="CA445" s="991"/>
      <c r="CB445" s="991"/>
      <c r="CC445" s="991"/>
      <c r="CD445" s="991"/>
      <c r="CE445" s="991"/>
    </row>
    <row r="446" spans="1:83" s="18" customFormat="1" ht="13.15" customHeight="1" x14ac:dyDescent="0.2">
      <c r="A446" s="664" t="s">
        <v>434</v>
      </c>
      <c r="B446" s="856"/>
      <c r="C446" s="696">
        <f t="shared" ref="C446:E446" si="1225">C297</f>
        <v>0</v>
      </c>
      <c r="D446" s="696">
        <f t="shared" si="1225"/>
        <v>0</v>
      </c>
      <c r="E446" s="696">
        <f t="shared" si="1225"/>
        <v>0</v>
      </c>
      <c r="F446" s="696">
        <f t="shared" ref="F446:G446" si="1226">F297</f>
        <v>0</v>
      </c>
      <c r="G446" s="814">
        <f t="shared" si="1226"/>
        <v>0</v>
      </c>
      <c r="H446" s="696">
        <f t="shared" ref="H446:M446" si="1227">H297</f>
        <v>0</v>
      </c>
      <c r="I446" s="696">
        <f t="shared" si="1227"/>
        <v>0</v>
      </c>
      <c r="J446" s="696">
        <f t="shared" si="1227"/>
        <v>0</v>
      </c>
      <c r="K446" s="696">
        <f t="shared" si="1227"/>
        <v>0</v>
      </c>
      <c r="L446" s="696">
        <f t="shared" si="1227"/>
        <v>0</v>
      </c>
      <c r="M446" s="696">
        <f t="shared" si="1227"/>
        <v>0</v>
      </c>
      <c r="N446" s="696">
        <f t="shared" ref="N446:AO446" si="1228">N297</f>
        <v>0</v>
      </c>
      <c r="O446" s="696">
        <f t="shared" si="1228"/>
        <v>0</v>
      </c>
      <c r="P446" s="696">
        <f t="shared" si="1228"/>
        <v>0</v>
      </c>
      <c r="Q446" s="696">
        <f t="shared" si="1228"/>
        <v>0</v>
      </c>
      <c r="R446" s="696">
        <f t="shared" si="1228"/>
        <v>0</v>
      </c>
      <c r="S446" s="696">
        <f t="shared" si="1228"/>
        <v>0</v>
      </c>
      <c r="T446" s="814">
        <f t="shared" si="1228"/>
        <v>0</v>
      </c>
      <c r="U446" s="696">
        <f t="shared" si="1228"/>
        <v>0</v>
      </c>
      <c r="V446" s="696">
        <f t="shared" si="1228"/>
        <v>0</v>
      </c>
      <c r="W446" s="696">
        <f t="shared" si="1228"/>
        <v>0</v>
      </c>
      <c r="X446" s="696">
        <f t="shared" si="1228"/>
        <v>0</v>
      </c>
      <c r="Y446" s="696">
        <f t="shared" si="1228"/>
        <v>0</v>
      </c>
      <c r="Z446" s="696">
        <f t="shared" si="1228"/>
        <v>0</v>
      </c>
      <c r="AA446" s="696">
        <f t="shared" si="1228"/>
        <v>0</v>
      </c>
      <c r="AB446" s="696">
        <f t="shared" si="1228"/>
        <v>0</v>
      </c>
      <c r="AC446" s="696">
        <f t="shared" si="1228"/>
        <v>0</v>
      </c>
      <c r="AD446" s="696">
        <f t="shared" si="1228"/>
        <v>0</v>
      </c>
      <c r="AE446" s="696">
        <f t="shared" si="1228"/>
        <v>0</v>
      </c>
      <c r="AF446" s="696">
        <f t="shared" si="1228"/>
        <v>0</v>
      </c>
      <c r="AG446" s="814">
        <f t="shared" si="1228"/>
        <v>0</v>
      </c>
      <c r="AH446" s="814">
        <f t="shared" si="1228"/>
        <v>0</v>
      </c>
      <c r="AI446" s="814">
        <f t="shared" si="1228"/>
        <v>56925.000000000015</v>
      </c>
      <c r="AJ446" s="814">
        <f t="shared" si="1228"/>
        <v>219161.25000000003</v>
      </c>
      <c r="AK446" s="814">
        <f t="shared" si="1228"/>
        <v>504853.59375</v>
      </c>
      <c r="AL446" s="814">
        <f t="shared" si="1228"/>
        <v>1060192.5468750002</v>
      </c>
      <c r="AM446" s="814">
        <f t="shared" si="1228"/>
        <v>1617147.0315</v>
      </c>
      <c r="AN446" s="814">
        <f t="shared" si="1228"/>
        <v>1987620.71508</v>
      </c>
      <c r="AO446" s="979">
        <f t="shared" si="1228"/>
        <v>2385144.8580959993</v>
      </c>
      <c r="AP446" s="991"/>
      <c r="AR446" s="991"/>
      <c r="AS446" s="991"/>
      <c r="AT446" s="991"/>
      <c r="AU446" s="991"/>
      <c r="AV446" s="991"/>
      <c r="AW446" s="991"/>
      <c r="AX446" s="991"/>
      <c r="AY446" s="991"/>
      <c r="AZ446" s="991"/>
      <c r="BA446" s="991"/>
      <c r="BB446" s="991"/>
      <c r="BC446" s="991"/>
      <c r="BD446" s="991"/>
      <c r="BE446" s="991"/>
      <c r="BF446" s="991"/>
      <c r="BG446" s="991"/>
      <c r="BH446" s="991"/>
      <c r="BI446" s="991"/>
      <c r="BJ446" s="991"/>
      <c r="BK446" s="405"/>
      <c r="BM446" s="991"/>
      <c r="BN446" s="991"/>
      <c r="BO446" s="991"/>
      <c r="BP446" s="991"/>
      <c r="BQ446" s="991"/>
      <c r="BR446" s="991"/>
      <c r="BS446" s="991"/>
      <c r="BT446" s="991"/>
      <c r="BU446" s="991"/>
      <c r="BV446" s="991"/>
      <c r="BW446" s="991"/>
      <c r="BX446" s="991"/>
      <c r="BY446" s="991"/>
      <c r="BZ446" s="991"/>
      <c r="CA446" s="991"/>
      <c r="CB446" s="991"/>
      <c r="CC446" s="991"/>
      <c r="CD446" s="991"/>
      <c r="CE446" s="991"/>
    </row>
    <row r="447" spans="1:83" s="18" customFormat="1" ht="13.15" customHeight="1" x14ac:dyDescent="0.2">
      <c r="A447" s="664" t="s">
        <v>435</v>
      </c>
      <c r="B447" s="856"/>
      <c r="C447" s="696">
        <f t="shared" ref="C447:E447" si="1229">C324</f>
        <v>0</v>
      </c>
      <c r="D447" s="696">
        <f t="shared" si="1229"/>
        <v>0</v>
      </c>
      <c r="E447" s="696">
        <f t="shared" si="1229"/>
        <v>0</v>
      </c>
      <c r="F447" s="696">
        <f t="shared" ref="F447:G447" si="1230">F324</f>
        <v>0</v>
      </c>
      <c r="G447" s="814">
        <f t="shared" si="1230"/>
        <v>0</v>
      </c>
      <c r="H447" s="696">
        <f t="shared" ref="H447:M447" si="1231">H324</f>
        <v>0</v>
      </c>
      <c r="I447" s="696">
        <f t="shared" si="1231"/>
        <v>0</v>
      </c>
      <c r="J447" s="696">
        <f t="shared" si="1231"/>
        <v>0</v>
      </c>
      <c r="K447" s="696">
        <f t="shared" si="1231"/>
        <v>0</v>
      </c>
      <c r="L447" s="696">
        <f t="shared" si="1231"/>
        <v>0</v>
      </c>
      <c r="M447" s="696">
        <f t="shared" si="1231"/>
        <v>0</v>
      </c>
      <c r="N447" s="696">
        <f t="shared" ref="N447:AO447" si="1232">N324</f>
        <v>0</v>
      </c>
      <c r="O447" s="696">
        <f t="shared" si="1232"/>
        <v>0</v>
      </c>
      <c r="P447" s="696">
        <f t="shared" si="1232"/>
        <v>0</v>
      </c>
      <c r="Q447" s="696">
        <f t="shared" si="1232"/>
        <v>0</v>
      </c>
      <c r="R447" s="696">
        <f t="shared" si="1232"/>
        <v>0</v>
      </c>
      <c r="S447" s="696">
        <f t="shared" si="1232"/>
        <v>0</v>
      </c>
      <c r="T447" s="814">
        <f t="shared" si="1232"/>
        <v>0</v>
      </c>
      <c r="U447" s="696">
        <f t="shared" si="1232"/>
        <v>0</v>
      </c>
      <c r="V447" s="696">
        <f t="shared" si="1232"/>
        <v>0</v>
      </c>
      <c r="W447" s="696">
        <f t="shared" si="1232"/>
        <v>0</v>
      </c>
      <c r="X447" s="696">
        <f t="shared" si="1232"/>
        <v>0</v>
      </c>
      <c r="Y447" s="696">
        <f t="shared" si="1232"/>
        <v>0</v>
      </c>
      <c r="Z447" s="696">
        <f t="shared" si="1232"/>
        <v>0</v>
      </c>
      <c r="AA447" s="696">
        <f t="shared" si="1232"/>
        <v>0</v>
      </c>
      <c r="AB447" s="696">
        <f t="shared" si="1232"/>
        <v>0</v>
      </c>
      <c r="AC447" s="696">
        <f t="shared" si="1232"/>
        <v>0</v>
      </c>
      <c r="AD447" s="696">
        <f t="shared" si="1232"/>
        <v>0</v>
      </c>
      <c r="AE447" s="696">
        <f t="shared" si="1232"/>
        <v>0</v>
      </c>
      <c r="AF447" s="696">
        <f t="shared" si="1232"/>
        <v>0</v>
      </c>
      <c r="AG447" s="814">
        <f t="shared" si="1232"/>
        <v>0</v>
      </c>
      <c r="AH447" s="814">
        <f t="shared" si="1232"/>
        <v>0</v>
      </c>
      <c r="AI447" s="814">
        <f t="shared" si="1232"/>
        <v>59336.55</v>
      </c>
      <c r="AJ447" s="814">
        <f t="shared" si="1232"/>
        <v>213908.26275000002</v>
      </c>
      <c r="AK447" s="814">
        <f t="shared" si="1232"/>
        <v>467542.34572500008</v>
      </c>
      <c r="AL447" s="814">
        <f t="shared" si="1232"/>
        <v>944435.53836450027</v>
      </c>
      <c r="AM447" s="814">
        <f t="shared" si="1232"/>
        <v>1385172.1229345999</v>
      </c>
      <c r="AN447" s="814">
        <f t="shared" si="1232"/>
        <v>1637021.5998318002</v>
      </c>
      <c r="AO447" s="979">
        <f t="shared" si="1232"/>
        <v>1888871.0767289998</v>
      </c>
      <c r="AP447" s="991"/>
      <c r="AR447" s="991"/>
      <c r="AS447" s="991"/>
      <c r="AT447" s="991"/>
      <c r="AU447" s="991"/>
      <c r="AV447" s="991"/>
      <c r="AW447" s="991"/>
      <c r="AX447" s="991"/>
      <c r="AY447" s="991"/>
      <c r="AZ447" s="991"/>
      <c r="BA447" s="991"/>
      <c r="BB447" s="991"/>
      <c r="BC447" s="991"/>
      <c r="BD447" s="991"/>
      <c r="BE447" s="991"/>
      <c r="BF447" s="991"/>
      <c r="BG447" s="991"/>
      <c r="BH447" s="991"/>
      <c r="BI447" s="991"/>
      <c r="BJ447" s="991"/>
      <c r="BK447" s="405"/>
      <c r="BM447" s="991"/>
      <c r="BN447" s="991"/>
      <c r="BO447" s="991"/>
      <c r="BP447" s="991"/>
      <c r="BQ447" s="991"/>
      <c r="BR447" s="991"/>
      <c r="BS447" s="991"/>
      <c r="BT447" s="991"/>
      <c r="BU447" s="991"/>
      <c r="BV447" s="991"/>
      <c r="BW447" s="991"/>
      <c r="BX447" s="991"/>
      <c r="BY447" s="991"/>
      <c r="BZ447" s="991"/>
      <c r="CA447" s="991"/>
      <c r="CB447" s="991"/>
      <c r="CC447" s="991"/>
      <c r="CD447" s="991"/>
      <c r="CE447" s="991"/>
    </row>
    <row r="448" spans="1:83" s="18" customFormat="1" ht="13.15" customHeight="1" x14ac:dyDescent="0.2">
      <c r="A448" s="664" t="s">
        <v>436</v>
      </c>
      <c r="B448" s="856"/>
      <c r="C448" s="696">
        <f t="shared" ref="C448:E448" si="1233">C351</f>
        <v>0</v>
      </c>
      <c r="D448" s="696">
        <f t="shared" si="1233"/>
        <v>0</v>
      </c>
      <c r="E448" s="696">
        <f t="shared" si="1233"/>
        <v>0</v>
      </c>
      <c r="F448" s="696">
        <f t="shared" ref="F448:G448" si="1234">F351</f>
        <v>0</v>
      </c>
      <c r="G448" s="814">
        <f t="shared" si="1234"/>
        <v>0</v>
      </c>
      <c r="H448" s="696">
        <f t="shared" ref="H448:M448" si="1235">H351</f>
        <v>0</v>
      </c>
      <c r="I448" s="696">
        <f t="shared" si="1235"/>
        <v>0</v>
      </c>
      <c r="J448" s="696">
        <f t="shared" si="1235"/>
        <v>0</v>
      </c>
      <c r="K448" s="696">
        <f t="shared" si="1235"/>
        <v>0</v>
      </c>
      <c r="L448" s="696">
        <f t="shared" si="1235"/>
        <v>0</v>
      </c>
      <c r="M448" s="696">
        <f t="shared" si="1235"/>
        <v>0</v>
      </c>
      <c r="N448" s="696">
        <f t="shared" ref="N448:AO448" si="1236">N351</f>
        <v>0</v>
      </c>
      <c r="O448" s="696">
        <f t="shared" si="1236"/>
        <v>0</v>
      </c>
      <c r="P448" s="696">
        <f t="shared" si="1236"/>
        <v>0</v>
      </c>
      <c r="Q448" s="696">
        <f t="shared" si="1236"/>
        <v>0</v>
      </c>
      <c r="R448" s="696">
        <f t="shared" si="1236"/>
        <v>0</v>
      </c>
      <c r="S448" s="696">
        <f t="shared" si="1236"/>
        <v>0</v>
      </c>
      <c r="T448" s="814">
        <f t="shared" si="1236"/>
        <v>0</v>
      </c>
      <c r="U448" s="696">
        <f t="shared" si="1236"/>
        <v>0</v>
      </c>
      <c r="V448" s="696">
        <f t="shared" si="1236"/>
        <v>0</v>
      </c>
      <c r="W448" s="696">
        <f t="shared" si="1236"/>
        <v>0</v>
      </c>
      <c r="X448" s="696">
        <f t="shared" si="1236"/>
        <v>0</v>
      </c>
      <c r="Y448" s="696">
        <f t="shared" si="1236"/>
        <v>0</v>
      </c>
      <c r="Z448" s="696">
        <f t="shared" si="1236"/>
        <v>0</v>
      </c>
      <c r="AA448" s="696">
        <f t="shared" si="1236"/>
        <v>0</v>
      </c>
      <c r="AB448" s="696">
        <f t="shared" si="1236"/>
        <v>0</v>
      </c>
      <c r="AC448" s="696">
        <f t="shared" si="1236"/>
        <v>0</v>
      </c>
      <c r="AD448" s="696">
        <f t="shared" si="1236"/>
        <v>0</v>
      </c>
      <c r="AE448" s="696">
        <f t="shared" si="1236"/>
        <v>0</v>
      </c>
      <c r="AF448" s="696">
        <f t="shared" si="1236"/>
        <v>0</v>
      </c>
      <c r="AG448" s="814">
        <f t="shared" si="1236"/>
        <v>0</v>
      </c>
      <c r="AH448" s="814">
        <f t="shared" si="1236"/>
        <v>0</v>
      </c>
      <c r="AI448" s="814">
        <f t="shared" si="1236"/>
        <v>36117.9</v>
      </c>
      <c r="AJ448" s="814">
        <f t="shared" si="1236"/>
        <v>148805.74799999999</v>
      </c>
      <c r="AK448" s="814">
        <f t="shared" si="1236"/>
        <v>341509.19166000001</v>
      </c>
      <c r="AL448" s="814">
        <f t="shared" si="1236"/>
        <v>689848.56715320004</v>
      </c>
      <c r="AM448" s="814">
        <f t="shared" si="1236"/>
        <v>1162522.5853878001</v>
      </c>
      <c r="AN448" s="814">
        <f t="shared" si="1236"/>
        <v>1532996.8158960002</v>
      </c>
      <c r="AO448" s="979">
        <f t="shared" si="1236"/>
        <v>1788496.2852120004</v>
      </c>
      <c r="AP448" s="991"/>
      <c r="AR448" s="991"/>
      <c r="AS448" s="991"/>
      <c r="AT448" s="991"/>
      <c r="AU448" s="991"/>
      <c r="AV448" s="991"/>
      <c r="AW448" s="991"/>
      <c r="AX448" s="991"/>
      <c r="AY448" s="991"/>
      <c r="AZ448" s="991"/>
      <c r="BA448" s="991"/>
      <c r="BB448" s="991"/>
      <c r="BC448" s="991"/>
      <c r="BD448" s="991"/>
      <c r="BE448" s="991"/>
      <c r="BF448" s="991"/>
      <c r="BG448" s="991"/>
      <c r="BH448" s="991"/>
      <c r="BI448" s="991"/>
      <c r="BJ448" s="991"/>
      <c r="BK448" s="405"/>
      <c r="BM448" s="991"/>
      <c r="BN448" s="991"/>
      <c r="BO448" s="991"/>
      <c r="BP448" s="991"/>
      <c r="BQ448" s="991"/>
      <c r="BR448" s="991"/>
      <c r="BS448" s="991"/>
      <c r="BT448" s="991"/>
      <c r="BU448" s="991"/>
      <c r="BV448" s="991"/>
      <c r="BW448" s="991"/>
      <c r="BX448" s="991"/>
      <c r="BY448" s="991"/>
      <c r="BZ448" s="991"/>
      <c r="CA448" s="991"/>
      <c r="CB448" s="991"/>
      <c r="CC448" s="991"/>
      <c r="CD448" s="991"/>
      <c r="CE448" s="991"/>
    </row>
    <row r="449" spans="1:83" s="18" customFormat="1" ht="13.15" customHeight="1" x14ac:dyDescent="0.2">
      <c r="A449" s="664" t="s">
        <v>437</v>
      </c>
      <c r="B449" s="856"/>
      <c r="C449" s="696">
        <f t="shared" ref="C449:E449" si="1237">C378</f>
        <v>0</v>
      </c>
      <c r="D449" s="696">
        <f t="shared" si="1237"/>
        <v>0</v>
      </c>
      <c r="E449" s="696">
        <f t="shared" si="1237"/>
        <v>0</v>
      </c>
      <c r="F449" s="696">
        <f t="shared" ref="F449:G449" si="1238">F378</f>
        <v>0</v>
      </c>
      <c r="G449" s="814">
        <f t="shared" si="1238"/>
        <v>0</v>
      </c>
      <c r="H449" s="696">
        <f t="shared" ref="H449:M449" si="1239">H378</f>
        <v>0</v>
      </c>
      <c r="I449" s="696">
        <f t="shared" si="1239"/>
        <v>0</v>
      </c>
      <c r="J449" s="696">
        <f t="shared" si="1239"/>
        <v>0</v>
      </c>
      <c r="K449" s="696">
        <f t="shared" si="1239"/>
        <v>0</v>
      </c>
      <c r="L449" s="696">
        <f t="shared" si="1239"/>
        <v>0</v>
      </c>
      <c r="M449" s="696">
        <f t="shared" si="1239"/>
        <v>0</v>
      </c>
      <c r="N449" s="696">
        <f t="shared" ref="N449:AO449" si="1240">N378</f>
        <v>0</v>
      </c>
      <c r="O449" s="696">
        <f t="shared" si="1240"/>
        <v>0</v>
      </c>
      <c r="P449" s="696">
        <f t="shared" si="1240"/>
        <v>0</v>
      </c>
      <c r="Q449" s="696">
        <f t="shared" si="1240"/>
        <v>0</v>
      </c>
      <c r="R449" s="696">
        <f t="shared" si="1240"/>
        <v>0</v>
      </c>
      <c r="S449" s="696">
        <f t="shared" si="1240"/>
        <v>0</v>
      </c>
      <c r="T449" s="814">
        <f t="shared" si="1240"/>
        <v>0</v>
      </c>
      <c r="U449" s="696">
        <f t="shared" si="1240"/>
        <v>0</v>
      </c>
      <c r="V449" s="696">
        <f t="shared" si="1240"/>
        <v>0</v>
      </c>
      <c r="W449" s="696">
        <f t="shared" si="1240"/>
        <v>0</v>
      </c>
      <c r="X449" s="696">
        <f t="shared" si="1240"/>
        <v>0</v>
      </c>
      <c r="Y449" s="696">
        <f t="shared" si="1240"/>
        <v>0</v>
      </c>
      <c r="Z449" s="696">
        <f t="shared" si="1240"/>
        <v>0</v>
      </c>
      <c r="AA449" s="696">
        <f t="shared" si="1240"/>
        <v>0</v>
      </c>
      <c r="AB449" s="696">
        <f t="shared" si="1240"/>
        <v>0</v>
      </c>
      <c r="AC449" s="696">
        <f t="shared" si="1240"/>
        <v>0</v>
      </c>
      <c r="AD449" s="696">
        <f t="shared" si="1240"/>
        <v>0</v>
      </c>
      <c r="AE449" s="696">
        <f t="shared" si="1240"/>
        <v>0</v>
      </c>
      <c r="AF449" s="696">
        <f t="shared" si="1240"/>
        <v>0</v>
      </c>
      <c r="AG449" s="814">
        <f t="shared" si="1240"/>
        <v>0</v>
      </c>
      <c r="AH449" s="814">
        <f t="shared" si="1240"/>
        <v>0</v>
      </c>
      <c r="AI449" s="814">
        <f t="shared" si="1240"/>
        <v>25798.5</v>
      </c>
      <c r="AJ449" s="814">
        <f t="shared" si="1240"/>
        <v>106289.81999999999</v>
      </c>
      <c r="AK449" s="814">
        <f t="shared" si="1240"/>
        <v>243935.13689999992</v>
      </c>
      <c r="AL449" s="814">
        <f t="shared" si="1240"/>
        <v>492748.97653799987</v>
      </c>
      <c r="AM449" s="814">
        <f t="shared" si="1240"/>
        <v>830373.27527699992</v>
      </c>
      <c r="AN449" s="814">
        <f t="shared" si="1240"/>
        <v>1094997.7256399998</v>
      </c>
      <c r="AO449" s="979">
        <f t="shared" si="1240"/>
        <v>1277497.3465800001</v>
      </c>
      <c r="AP449" s="991"/>
      <c r="AR449" s="991"/>
      <c r="AS449" s="991"/>
      <c r="AT449" s="991"/>
      <c r="AU449" s="991"/>
      <c r="AV449" s="991"/>
      <c r="AW449" s="991"/>
      <c r="AX449" s="991"/>
      <c r="AY449" s="991"/>
      <c r="AZ449" s="991"/>
      <c r="BA449" s="991"/>
      <c r="BB449" s="991"/>
      <c r="BC449" s="991"/>
      <c r="BD449" s="991"/>
      <c r="BE449" s="991"/>
      <c r="BF449" s="991"/>
      <c r="BG449" s="991"/>
      <c r="BH449" s="991"/>
      <c r="BI449" s="991"/>
      <c r="BJ449" s="991"/>
      <c r="BK449" s="405"/>
      <c r="BM449" s="991"/>
      <c r="BN449" s="991"/>
      <c r="BO449" s="991"/>
      <c r="BP449" s="991"/>
      <c r="BQ449" s="991"/>
      <c r="BR449" s="991"/>
      <c r="BS449" s="991"/>
      <c r="BT449" s="991"/>
      <c r="BU449" s="991"/>
      <c r="BV449" s="991"/>
      <c r="BW449" s="991"/>
      <c r="BX449" s="991"/>
      <c r="BY449" s="991"/>
      <c r="BZ449" s="991"/>
      <c r="CA449" s="991"/>
      <c r="CB449" s="991"/>
      <c r="CC449" s="991"/>
      <c r="CD449" s="991"/>
      <c r="CE449" s="991"/>
    </row>
    <row r="450" spans="1:83" s="18" customFormat="1" ht="13.15" customHeight="1" x14ac:dyDescent="0.2">
      <c r="A450" s="664" t="s">
        <v>438</v>
      </c>
      <c r="B450" s="856"/>
      <c r="C450" s="696">
        <f t="shared" ref="C450:E450" si="1241">C405</f>
        <v>0</v>
      </c>
      <c r="D450" s="696">
        <f t="shared" si="1241"/>
        <v>0</v>
      </c>
      <c r="E450" s="696">
        <f t="shared" si="1241"/>
        <v>0</v>
      </c>
      <c r="F450" s="696">
        <f t="shared" ref="F450:G450" si="1242">F405</f>
        <v>0</v>
      </c>
      <c r="G450" s="814">
        <f t="shared" si="1242"/>
        <v>0</v>
      </c>
      <c r="H450" s="696">
        <f t="shared" ref="H450:M450" si="1243">H405</f>
        <v>0</v>
      </c>
      <c r="I450" s="696">
        <f t="shared" si="1243"/>
        <v>0</v>
      </c>
      <c r="J450" s="696">
        <f t="shared" si="1243"/>
        <v>0</v>
      </c>
      <c r="K450" s="696">
        <f t="shared" si="1243"/>
        <v>0</v>
      </c>
      <c r="L450" s="696">
        <f t="shared" si="1243"/>
        <v>0</v>
      </c>
      <c r="M450" s="696">
        <f t="shared" si="1243"/>
        <v>0</v>
      </c>
      <c r="N450" s="696">
        <f t="shared" ref="N450:AO450" si="1244">N405</f>
        <v>0</v>
      </c>
      <c r="O450" s="696">
        <f t="shared" si="1244"/>
        <v>0</v>
      </c>
      <c r="P450" s="696">
        <f t="shared" si="1244"/>
        <v>0</v>
      </c>
      <c r="Q450" s="696">
        <f t="shared" si="1244"/>
        <v>0</v>
      </c>
      <c r="R450" s="696">
        <f t="shared" si="1244"/>
        <v>0</v>
      </c>
      <c r="S450" s="696">
        <f t="shared" si="1244"/>
        <v>0</v>
      </c>
      <c r="T450" s="814">
        <f t="shared" si="1244"/>
        <v>0</v>
      </c>
      <c r="U450" s="696">
        <f t="shared" si="1244"/>
        <v>0</v>
      </c>
      <c r="V450" s="696">
        <f t="shared" si="1244"/>
        <v>0</v>
      </c>
      <c r="W450" s="696">
        <f t="shared" si="1244"/>
        <v>0</v>
      </c>
      <c r="X450" s="696">
        <f t="shared" si="1244"/>
        <v>0</v>
      </c>
      <c r="Y450" s="696">
        <f t="shared" si="1244"/>
        <v>0</v>
      </c>
      <c r="Z450" s="696">
        <f t="shared" si="1244"/>
        <v>0</v>
      </c>
      <c r="AA450" s="696">
        <f t="shared" si="1244"/>
        <v>0</v>
      </c>
      <c r="AB450" s="696">
        <f t="shared" si="1244"/>
        <v>0</v>
      </c>
      <c r="AC450" s="696">
        <f t="shared" si="1244"/>
        <v>0</v>
      </c>
      <c r="AD450" s="696">
        <f t="shared" si="1244"/>
        <v>0</v>
      </c>
      <c r="AE450" s="696">
        <f t="shared" si="1244"/>
        <v>0</v>
      </c>
      <c r="AF450" s="696">
        <f t="shared" si="1244"/>
        <v>0</v>
      </c>
      <c r="AG450" s="814">
        <f t="shared" si="1244"/>
        <v>0</v>
      </c>
      <c r="AH450" s="814">
        <f t="shared" si="1244"/>
        <v>0</v>
      </c>
      <c r="AI450" s="814">
        <f t="shared" si="1244"/>
        <v>4643.7299999999996</v>
      </c>
      <c r="AJ450" s="814">
        <f t="shared" si="1244"/>
        <v>19132.167600000001</v>
      </c>
      <c r="AK450" s="814">
        <f t="shared" si="1244"/>
        <v>43908.324641999992</v>
      </c>
      <c r="AL450" s="814">
        <f t="shared" si="1244"/>
        <v>88694.815776839983</v>
      </c>
      <c r="AM450" s="814">
        <f t="shared" si="1244"/>
        <v>149467.18954985999</v>
      </c>
      <c r="AN450" s="814">
        <f t="shared" si="1244"/>
        <v>197099.5906152</v>
      </c>
      <c r="AO450" s="979">
        <f t="shared" si="1244"/>
        <v>229949.52238440001</v>
      </c>
      <c r="AP450" s="991"/>
      <c r="AR450" s="991"/>
      <c r="AS450" s="991"/>
      <c r="AT450" s="991"/>
      <c r="AU450" s="991"/>
      <c r="AV450" s="991"/>
      <c r="AW450" s="991"/>
      <c r="AX450" s="991"/>
      <c r="AY450" s="991"/>
      <c r="AZ450" s="991"/>
      <c r="BA450" s="991"/>
      <c r="BB450" s="991"/>
      <c r="BC450" s="991"/>
      <c r="BD450" s="991"/>
      <c r="BE450" s="991"/>
      <c r="BF450" s="991"/>
      <c r="BG450" s="991"/>
      <c r="BH450" s="991"/>
      <c r="BI450" s="991"/>
      <c r="BJ450" s="991"/>
      <c r="BK450" s="405"/>
      <c r="BM450" s="991"/>
      <c r="BN450" s="991"/>
      <c r="BO450" s="991"/>
      <c r="BP450" s="991"/>
      <c r="BQ450" s="991"/>
      <c r="BR450" s="991"/>
      <c r="BS450" s="991"/>
      <c r="BT450" s="991"/>
      <c r="BU450" s="991"/>
      <c r="BV450" s="991"/>
      <c r="BW450" s="991"/>
      <c r="BX450" s="991"/>
      <c r="BY450" s="991"/>
      <c r="BZ450" s="991"/>
      <c r="CA450" s="991"/>
      <c r="CB450" s="991"/>
      <c r="CC450" s="991"/>
      <c r="CD450" s="991"/>
      <c r="CE450" s="991"/>
    </row>
    <row r="451" spans="1:83" s="18" customFormat="1" ht="13.15" customHeight="1" thickBot="1" x14ac:dyDescent="0.25">
      <c r="A451" s="664" t="s">
        <v>439</v>
      </c>
      <c r="B451" s="856"/>
      <c r="C451" s="696">
        <f t="shared" ref="C451:E451" si="1245">C432</f>
        <v>0</v>
      </c>
      <c r="D451" s="696">
        <f t="shared" si="1245"/>
        <v>0</v>
      </c>
      <c r="E451" s="696">
        <f t="shared" si="1245"/>
        <v>0</v>
      </c>
      <c r="F451" s="696">
        <f t="shared" ref="F451:G451" si="1246">F432</f>
        <v>0</v>
      </c>
      <c r="G451" s="814">
        <f t="shared" si="1246"/>
        <v>0</v>
      </c>
      <c r="H451" s="696">
        <f t="shared" ref="H451:M451" si="1247">H432</f>
        <v>0</v>
      </c>
      <c r="I451" s="696">
        <f t="shared" si="1247"/>
        <v>0</v>
      </c>
      <c r="J451" s="696">
        <f t="shared" si="1247"/>
        <v>0</v>
      </c>
      <c r="K451" s="696">
        <f t="shared" si="1247"/>
        <v>0</v>
      </c>
      <c r="L451" s="696">
        <f t="shared" si="1247"/>
        <v>0</v>
      </c>
      <c r="M451" s="696">
        <f t="shared" si="1247"/>
        <v>0</v>
      </c>
      <c r="N451" s="696">
        <f t="shared" ref="N451:AO451" si="1248">N432</f>
        <v>0</v>
      </c>
      <c r="O451" s="696">
        <f t="shared" si="1248"/>
        <v>0</v>
      </c>
      <c r="P451" s="696">
        <f t="shared" si="1248"/>
        <v>0</v>
      </c>
      <c r="Q451" s="696">
        <f t="shared" si="1248"/>
        <v>0</v>
      </c>
      <c r="R451" s="696">
        <f t="shared" si="1248"/>
        <v>0</v>
      </c>
      <c r="S451" s="696">
        <f t="shared" si="1248"/>
        <v>0</v>
      </c>
      <c r="T451" s="814">
        <f t="shared" si="1248"/>
        <v>0</v>
      </c>
      <c r="U451" s="696">
        <f t="shared" si="1248"/>
        <v>0</v>
      </c>
      <c r="V451" s="696">
        <f t="shared" si="1248"/>
        <v>0</v>
      </c>
      <c r="W451" s="696">
        <f t="shared" si="1248"/>
        <v>0</v>
      </c>
      <c r="X451" s="696">
        <f t="shared" si="1248"/>
        <v>0</v>
      </c>
      <c r="Y451" s="696">
        <f t="shared" si="1248"/>
        <v>0</v>
      </c>
      <c r="Z451" s="696">
        <f t="shared" si="1248"/>
        <v>0</v>
      </c>
      <c r="AA451" s="696">
        <f t="shared" si="1248"/>
        <v>0</v>
      </c>
      <c r="AB451" s="696">
        <f t="shared" si="1248"/>
        <v>0</v>
      </c>
      <c r="AC451" s="696">
        <f t="shared" si="1248"/>
        <v>0</v>
      </c>
      <c r="AD451" s="696">
        <f t="shared" si="1248"/>
        <v>0</v>
      </c>
      <c r="AE451" s="696">
        <f t="shared" si="1248"/>
        <v>0</v>
      </c>
      <c r="AF451" s="696">
        <f t="shared" si="1248"/>
        <v>0</v>
      </c>
      <c r="AG451" s="814">
        <f t="shared" si="1248"/>
        <v>0</v>
      </c>
      <c r="AH451" s="814">
        <f t="shared" si="1248"/>
        <v>0</v>
      </c>
      <c r="AI451" s="814">
        <f t="shared" si="1248"/>
        <v>2063.88</v>
      </c>
      <c r="AJ451" s="814">
        <f t="shared" si="1248"/>
        <v>8503.1856000000025</v>
      </c>
      <c r="AK451" s="814">
        <f t="shared" si="1248"/>
        <v>19514.810952000003</v>
      </c>
      <c r="AL451" s="814">
        <f t="shared" si="1248"/>
        <v>39419.918123040006</v>
      </c>
      <c r="AM451" s="814">
        <f t="shared" si="1248"/>
        <v>66429.862022160014</v>
      </c>
      <c r="AN451" s="814">
        <f t="shared" si="1248"/>
        <v>87599.818051200025</v>
      </c>
      <c r="AO451" s="979">
        <f t="shared" si="1248"/>
        <v>102199.78772640003</v>
      </c>
      <c r="AP451" s="991"/>
      <c r="AR451" s="991"/>
      <c r="AS451" s="991"/>
      <c r="AT451" s="991"/>
      <c r="AU451" s="991"/>
      <c r="AV451" s="991"/>
      <c r="AW451" s="991"/>
      <c r="AX451" s="991"/>
      <c r="AY451" s="991"/>
      <c r="AZ451" s="991"/>
      <c r="BA451" s="991"/>
      <c r="BB451" s="991"/>
      <c r="BC451" s="991"/>
      <c r="BD451" s="991"/>
      <c r="BE451" s="991"/>
      <c r="BF451" s="991"/>
      <c r="BG451" s="991"/>
      <c r="BH451" s="991"/>
      <c r="BI451" s="991"/>
      <c r="BJ451" s="991"/>
      <c r="BK451" s="405"/>
      <c r="BM451" s="991"/>
      <c r="BN451" s="991"/>
      <c r="BO451" s="991"/>
      <c r="BP451" s="991"/>
      <c r="BQ451" s="991"/>
      <c r="BR451" s="991"/>
      <c r="BS451" s="991"/>
      <c r="BT451" s="991"/>
      <c r="BU451" s="991"/>
      <c r="BV451" s="991"/>
      <c r="BW451" s="991"/>
      <c r="BX451" s="991"/>
      <c r="BY451" s="991"/>
      <c r="BZ451" s="991"/>
      <c r="CA451" s="991"/>
      <c r="CB451" s="991"/>
      <c r="CC451" s="991"/>
      <c r="CD451" s="991"/>
      <c r="CE451" s="991"/>
    </row>
    <row r="452" spans="1:83" s="34" customFormat="1" ht="12.4" customHeight="1" x14ac:dyDescent="0.2">
      <c r="A452" s="98" t="s">
        <v>320</v>
      </c>
      <c r="B452" s="857"/>
      <c r="C452" s="99">
        <f t="shared" ref="C452:E452" si="1249">SUM(C436:C451)</f>
        <v>0</v>
      </c>
      <c r="D452" s="99">
        <f t="shared" si="1249"/>
        <v>0</v>
      </c>
      <c r="E452" s="99">
        <f t="shared" si="1249"/>
        <v>0</v>
      </c>
      <c r="F452" s="99">
        <f t="shared" ref="F452:G452" si="1250">SUM(F436:F451)</f>
        <v>0</v>
      </c>
      <c r="G452" s="100">
        <f t="shared" si="1250"/>
        <v>0</v>
      </c>
      <c r="H452" s="99">
        <f t="shared" ref="H452:M452" si="1251">SUM(H436:H451)</f>
        <v>0</v>
      </c>
      <c r="I452" s="99">
        <f t="shared" si="1251"/>
        <v>0</v>
      </c>
      <c r="J452" s="99">
        <f t="shared" si="1251"/>
        <v>0</v>
      </c>
      <c r="K452" s="99">
        <f t="shared" si="1251"/>
        <v>0</v>
      </c>
      <c r="L452" s="99">
        <f t="shared" si="1251"/>
        <v>0</v>
      </c>
      <c r="M452" s="99">
        <f t="shared" si="1251"/>
        <v>0</v>
      </c>
      <c r="N452" s="99">
        <f t="shared" ref="N452:AO452" si="1252">SUM(N436:N451)</f>
        <v>0</v>
      </c>
      <c r="O452" s="99">
        <f t="shared" si="1252"/>
        <v>0</v>
      </c>
      <c r="P452" s="99">
        <f t="shared" si="1252"/>
        <v>0</v>
      </c>
      <c r="Q452" s="99">
        <f t="shared" si="1252"/>
        <v>0</v>
      </c>
      <c r="R452" s="99">
        <f t="shared" si="1252"/>
        <v>0</v>
      </c>
      <c r="S452" s="99">
        <f t="shared" si="1252"/>
        <v>0</v>
      </c>
      <c r="T452" s="100">
        <f t="shared" si="1252"/>
        <v>0</v>
      </c>
      <c r="U452" s="99">
        <f t="shared" si="1252"/>
        <v>0</v>
      </c>
      <c r="V452" s="99">
        <f t="shared" si="1252"/>
        <v>0</v>
      </c>
      <c r="W452" s="99">
        <f t="shared" si="1252"/>
        <v>578437.50000000012</v>
      </c>
      <c r="X452" s="99">
        <f t="shared" si="1252"/>
        <v>706875</v>
      </c>
      <c r="Y452" s="99">
        <f t="shared" si="1252"/>
        <v>820312.5</v>
      </c>
      <c r="Z452" s="99">
        <f t="shared" si="1252"/>
        <v>918750</v>
      </c>
      <c r="AA452" s="99">
        <f t="shared" si="1252"/>
        <v>1017187.5</v>
      </c>
      <c r="AB452" s="99">
        <f t="shared" si="1252"/>
        <v>1115625</v>
      </c>
      <c r="AC452" s="99">
        <f t="shared" si="1252"/>
        <v>1214062.5</v>
      </c>
      <c r="AD452" s="99">
        <f t="shared" si="1252"/>
        <v>1312500</v>
      </c>
      <c r="AE452" s="99">
        <f t="shared" si="1252"/>
        <v>1410937.5</v>
      </c>
      <c r="AF452" s="99">
        <f t="shared" si="1252"/>
        <v>1509375</v>
      </c>
      <c r="AG452" s="100">
        <f t="shared" si="1252"/>
        <v>10604062.5</v>
      </c>
      <c r="AH452" s="100">
        <f t="shared" si="1252"/>
        <v>32333381.249999996</v>
      </c>
      <c r="AI452" s="100">
        <f t="shared" si="1252"/>
        <v>61733910.434999995</v>
      </c>
      <c r="AJ452" s="100">
        <f t="shared" si="1252"/>
        <v>104580761.18707497</v>
      </c>
      <c r="AK452" s="100">
        <f t="shared" si="1252"/>
        <v>160725420.05386654</v>
      </c>
      <c r="AL452" s="100">
        <f t="shared" si="1252"/>
        <v>210658144.65336478</v>
      </c>
      <c r="AM452" s="100">
        <f t="shared" si="1252"/>
        <v>247591562.33242396</v>
      </c>
      <c r="AN452" s="100">
        <f t="shared" si="1252"/>
        <v>282525091.72696775</v>
      </c>
      <c r="AO452" s="1008">
        <f t="shared" si="1252"/>
        <v>317267219.53468227</v>
      </c>
      <c r="AP452" s="991"/>
      <c r="AR452" s="3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38"/>
      <c r="BM452" s="3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38"/>
    </row>
    <row r="453" spans="1:83" s="34" customFormat="1" ht="12.4" customHeight="1" x14ac:dyDescent="0.2">
      <c r="A453" s="101"/>
      <c r="B453" s="858"/>
      <c r="C453" s="858"/>
      <c r="D453" s="858"/>
      <c r="E453" s="858"/>
      <c r="F453" s="858"/>
      <c r="G453" s="103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3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3"/>
      <c r="AH453" s="103"/>
      <c r="AI453" s="103"/>
      <c r="AJ453" s="103"/>
      <c r="AK453" s="31"/>
      <c r="AL453" s="31"/>
      <c r="AM453" s="31"/>
      <c r="AN453" s="268"/>
      <c r="AO453" s="1009"/>
      <c r="AP453" s="991"/>
      <c r="BE453" s="38"/>
      <c r="BZ453" s="38"/>
    </row>
    <row r="454" spans="1:83" s="34" customFormat="1" ht="16.899999999999999" customHeight="1" thickBot="1" x14ac:dyDescent="0.25">
      <c r="A454" s="83" t="s">
        <v>262</v>
      </c>
      <c r="B454" s="854"/>
      <c r="C454" s="698">
        <f>C2</f>
        <v>41153</v>
      </c>
      <c r="D454" s="698">
        <f t="shared" ref="D454:G454" si="1253">D2</f>
        <v>41183</v>
      </c>
      <c r="E454" s="698">
        <f t="shared" si="1253"/>
        <v>41214</v>
      </c>
      <c r="F454" s="698">
        <f t="shared" si="1253"/>
        <v>41244</v>
      </c>
      <c r="G454" s="907">
        <f t="shared" si="1253"/>
        <v>2012</v>
      </c>
      <c r="H454" s="698">
        <f t="shared" ref="H454:AO454" si="1254">H2</f>
        <v>41275</v>
      </c>
      <c r="I454" s="698">
        <f t="shared" si="1254"/>
        <v>41306</v>
      </c>
      <c r="J454" s="698">
        <f t="shared" si="1254"/>
        <v>41334</v>
      </c>
      <c r="K454" s="698">
        <f t="shared" si="1254"/>
        <v>41365</v>
      </c>
      <c r="L454" s="698">
        <f t="shared" si="1254"/>
        <v>41395</v>
      </c>
      <c r="M454" s="698">
        <f t="shared" si="1254"/>
        <v>41426</v>
      </c>
      <c r="N454" s="698">
        <f t="shared" si="1254"/>
        <v>41456</v>
      </c>
      <c r="O454" s="698">
        <f t="shared" si="1254"/>
        <v>41487</v>
      </c>
      <c r="P454" s="698">
        <f t="shared" si="1254"/>
        <v>41518</v>
      </c>
      <c r="Q454" s="698">
        <f t="shared" si="1254"/>
        <v>41548</v>
      </c>
      <c r="R454" s="698">
        <f t="shared" si="1254"/>
        <v>41579</v>
      </c>
      <c r="S454" s="698">
        <f t="shared" si="1254"/>
        <v>41609</v>
      </c>
      <c r="T454" s="86">
        <f t="shared" si="1254"/>
        <v>2013</v>
      </c>
      <c r="U454" s="698">
        <f t="shared" si="1254"/>
        <v>41640</v>
      </c>
      <c r="V454" s="698">
        <f t="shared" si="1254"/>
        <v>41671</v>
      </c>
      <c r="W454" s="698">
        <f t="shared" si="1254"/>
        <v>41699</v>
      </c>
      <c r="X454" s="698">
        <f t="shared" si="1254"/>
        <v>41730</v>
      </c>
      <c r="Y454" s="698">
        <f t="shared" si="1254"/>
        <v>41760</v>
      </c>
      <c r="Z454" s="698">
        <f t="shared" si="1254"/>
        <v>41791</v>
      </c>
      <c r="AA454" s="698">
        <f t="shared" si="1254"/>
        <v>41821</v>
      </c>
      <c r="AB454" s="698">
        <f t="shared" si="1254"/>
        <v>41852</v>
      </c>
      <c r="AC454" s="698">
        <f t="shared" si="1254"/>
        <v>41883</v>
      </c>
      <c r="AD454" s="698">
        <f t="shared" si="1254"/>
        <v>41913</v>
      </c>
      <c r="AE454" s="698">
        <f t="shared" si="1254"/>
        <v>41944</v>
      </c>
      <c r="AF454" s="698">
        <f t="shared" si="1254"/>
        <v>41974</v>
      </c>
      <c r="AG454" s="86">
        <f t="shared" si="1254"/>
        <v>2014</v>
      </c>
      <c r="AH454" s="86">
        <f t="shared" si="1254"/>
        <v>2015</v>
      </c>
      <c r="AI454" s="86">
        <f t="shared" si="1254"/>
        <v>2016</v>
      </c>
      <c r="AJ454" s="86">
        <f t="shared" si="1254"/>
        <v>2017</v>
      </c>
      <c r="AK454" s="86">
        <f t="shared" si="1254"/>
        <v>2018</v>
      </c>
      <c r="AL454" s="86">
        <f t="shared" si="1254"/>
        <v>2019</v>
      </c>
      <c r="AM454" s="86">
        <f t="shared" si="1254"/>
        <v>2020</v>
      </c>
      <c r="AN454" s="86">
        <f t="shared" si="1254"/>
        <v>2021</v>
      </c>
      <c r="AO454" s="891">
        <f t="shared" si="1254"/>
        <v>2022</v>
      </c>
      <c r="AP454" s="991"/>
    </row>
    <row r="455" spans="1:83" s="34" customFormat="1" ht="12.4" customHeight="1" x14ac:dyDescent="0.2">
      <c r="A455" s="501" t="s">
        <v>401</v>
      </c>
      <c r="B455" s="855"/>
      <c r="C455" s="479">
        <v>20</v>
      </c>
      <c r="D455" s="866">
        <f>C455</f>
        <v>20</v>
      </c>
      <c r="E455" s="866">
        <f t="shared" ref="E455:F455" si="1255">D455</f>
        <v>20</v>
      </c>
      <c r="F455" s="866">
        <f t="shared" si="1255"/>
        <v>20</v>
      </c>
      <c r="G455" s="908">
        <f>F455</f>
        <v>20</v>
      </c>
      <c r="H455" s="479">
        <f>F455</f>
        <v>20</v>
      </c>
      <c r="I455" s="479">
        <f t="shared" ref="I455:P455" si="1256">G455</f>
        <v>20</v>
      </c>
      <c r="J455" s="479">
        <f t="shared" si="1256"/>
        <v>20</v>
      </c>
      <c r="K455" s="479">
        <f t="shared" si="1256"/>
        <v>20</v>
      </c>
      <c r="L455" s="479">
        <f t="shared" si="1256"/>
        <v>20</v>
      </c>
      <c r="M455" s="479">
        <f t="shared" si="1256"/>
        <v>20</v>
      </c>
      <c r="N455" s="479">
        <f t="shared" si="1256"/>
        <v>20</v>
      </c>
      <c r="O455" s="479">
        <f t="shared" si="1256"/>
        <v>20</v>
      </c>
      <c r="P455" s="479">
        <f t="shared" si="1256"/>
        <v>20</v>
      </c>
      <c r="Q455" s="479">
        <f t="shared" ref="Q455:T455" si="1257">P455</f>
        <v>20</v>
      </c>
      <c r="R455" s="479">
        <f t="shared" si="1257"/>
        <v>20</v>
      </c>
      <c r="S455" s="479">
        <f t="shared" si="1257"/>
        <v>20</v>
      </c>
      <c r="T455" s="460">
        <f t="shared" si="1257"/>
        <v>20</v>
      </c>
      <c r="U455" s="479">
        <f>S455</f>
        <v>20</v>
      </c>
      <c r="V455" s="479">
        <f>U455</f>
        <v>20</v>
      </c>
      <c r="W455" s="479">
        <f t="shared" ref="W455:AG455" si="1258">V455</f>
        <v>20</v>
      </c>
      <c r="X455" s="479">
        <f t="shared" si="1258"/>
        <v>20</v>
      </c>
      <c r="Y455" s="479">
        <f t="shared" si="1258"/>
        <v>20</v>
      </c>
      <c r="Z455" s="479">
        <f t="shared" si="1258"/>
        <v>20</v>
      </c>
      <c r="AA455" s="479">
        <f t="shared" si="1258"/>
        <v>20</v>
      </c>
      <c r="AB455" s="479">
        <f t="shared" si="1258"/>
        <v>20</v>
      </c>
      <c r="AC455" s="479">
        <f t="shared" si="1258"/>
        <v>20</v>
      </c>
      <c r="AD455" s="479">
        <f t="shared" si="1258"/>
        <v>20</v>
      </c>
      <c r="AE455" s="479">
        <f t="shared" si="1258"/>
        <v>20</v>
      </c>
      <c r="AF455" s="479">
        <f t="shared" si="1258"/>
        <v>20</v>
      </c>
      <c r="AG455" s="922">
        <f t="shared" si="1258"/>
        <v>20</v>
      </c>
      <c r="AH455" s="481">
        <f>AF455</f>
        <v>20</v>
      </c>
      <c r="AI455" s="481">
        <f>AH455</f>
        <v>20</v>
      </c>
      <c r="AJ455" s="481">
        <f t="shared" ref="AJ455:AO455" si="1259">AI455</f>
        <v>20</v>
      </c>
      <c r="AK455" s="481">
        <f t="shared" si="1259"/>
        <v>20</v>
      </c>
      <c r="AL455" s="481">
        <f t="shared" si="1259"/>
        <v>20</v>
      </c>
      <c r="AM455" s="481">
        <f t="shared" si="1259"/>
        <v>20</v>
      </c>
      <c r="AN455" s="481">
        <f t="shared" si="1259"/>
        <v>20</v>
      </c>
      <c r="AO455" s="1010">
        <f t="shared" si="1259"/>
        <v>20</v>
      </c>
      <c r="AP455" s="991"/>
    </row>
    <row r="456" spans="1:83" s="34" customFormat="1" ht="13.15" customHeight="1" thickBot="1" x14ac:dyDescent="0.25">
      <c r="A456" s="665" t="s">
        <v>259</v>
      </c>
      <c r="B456" s="505"/>
      <c r="C456" s="690">
        <f t="shared" ref="C456:F456" si="1260">C23+C50+C77+C104+C131+C158+C185+C212+C239+C266+C293+C320+C347+C374+C401+C428</f>
        <v>0</v>
      </c>
      <c r="D456" s="690">
        <f t="shared" si="1260"/>
        <v>0</v>
      </c>
      <c r="E456" s="690">
        <f t="shared" si="1260"/>
        <v>0</v>
      </c>
      <c r="F456" s="690">
        <f t="shared" si="1260"/>
        <v>0</v>
      </c>
      <c r="G456" s="909">
        <f>SUM(C456:F456)</f>
        <v>0</v>
      </c>
      <c r="H456" s="690">
        <f t="shared" ref="H456:M456" si="1261">H23+H50+H77+H104+H131+H158+H185+H212+H239+H266+H293+H320+H347+H374+H401+H428</f>
        <v>0</v>
      </c>
      <c r="I456" s="690">
        <f t="shared" si="1261"/>
        <v>0</v>
      </c>
      <c r="J456" s="690">
        <f t="shared" si="1261"/>
        <v>0</v>
      </c>
      <c r="K456" s="690">
        <f t="shared" si="1261"/>
        <v>0</v>
      </c>
      <c r="L456" s="690">
        <f t="shared" si="1261"/>
        <v>0</v>
      </c>
      <c r="M456" s="690">
        <f t="shared" si="1261"/>
        <v>0</v>
      </c>
      <c r="N456" s="690">
        <f t="shared" ref="N456:AO456" si="1262">N23+N50+N77+N104+N131+N158+N185+N212+N239+N266+N293+N320+N347+N374+N401+N428</f>
        <v>0</v>
      </c>
      <c r="O456" s="690">
        <f t="shared" si="1262"/>
        <v>0</v>
      </c>
      <c r="P456" s="690">
        <f t="shared" si="1262"/>
        <v>0</v>
      </c>
      <c r="Q456" s="690">
        <f t="shared" si="1262"/>
        <v>0</v>
      </c>
      <c r="R456" s="690">
        <f t="shared" si="1262"/>
        <v>0</v>
      </c>
      <c r="S456" s="690">
        <f t="shared" si="1262"/>
        <v>0</v>
      </c>
      <c r="T456" s="902">
        <f t="shared" si="1262"/>
        <v>0</v>
      </c>
      <c r="U456" s="690">
        <f t="shared" si="1262"/>
        <v>0</v>
      </c>
      <c r="V456" s="690">
        <f t="shared" si="1262"/>
        <v>0</v>
      </c>
      <c r="W456" s="690">
        <f t="shared" si="1262"/>
        <v>1928.1250000000002</v>
      </c>
      <c r="X456" s="690">
        <f t="shared" si="1262"/>
        <v>2356.25</v>
      </c>
      <c r="Y456" s="690">
        <f t="shared" si="1262"/>
        <v>2734.375</v>
      </c>
      <c r="Z456" s="690">
        <f t="shared" si="1262"/>
        <v>3062.5</v>
      </c>
      <c r="AA456" s="690">
        <f t="shared" si="1262"/>
        <v>3390.625</v>
      </c>
      <c r="AB456" s="690">
        <f t="shared" si="1262"/>
        <v>3718.75</v>
      </c>
      <c r="AC456" s="690">
        <f t="shared" si="1262"/>
        <v>4046.875</v>
      </c>
      <c r="AD456" s="690">
        <f t="shared" si="1262"/>
        <v>4375</v>
      </c>
      <c r="AE456" s="690">
        <f t="shared" si="1262"/>
        <v>4703.125</v>
      </c>
      <c r="AF456" s="690">
        <f t="shared" si="1262"/>
        <v>5031.25</v>
      </c>
      <c r="AG456" s="902">
        <f t="shared" si="1262"/>
        <v>35346.875</v>
      </c>
      <c r="AH456" s="902">
        <f t="shared" si="1262"/>
        <v>107777.9375</v>
      </c>
      <c r="AI456" s="902">
        <f t="shared" si="1262"/>
        <v>205779.70144999999</v>
      </c>
      <c r="AJ456" s="902">
        <f t="shared" si="1262"/>
        <v>348602.53729025013</v>
      </c>
      <c r="AK456" s="902">
        <f t="shared" si="1262"/>
        <v>535751.40017955482</v>
      </c>
      <c r="AL456" s="902">
        <f t="shared" si="1262"/>
        <v>702193.81551121618</v>
      </c>
      <c r="AM456" s="902">
        <f t="shared" si="1262"/>
        <v>825305.20777474635</v>
      </c>
      <c r="AN456" s="902">
        <f t="shared" si="1262"/>
        <v>941750.30575655901</v>
      </c>
      <c r="AO456" s="996">
        <f t="shared" si="1262"/>
        <v>1057557.3984489408</v>
      </c>
      <c r="AP456" s="991"/>
    </row>
    <row r="457" spans="1:83" s="34" customFormat="1" ht="12.4" customHeight="1" x14ac:dyDescent="0.2">
      <c r="A457" s="105" t="s">
        <v>261</v>
      </c>
      <c r="B457" s="859"/>
      <c r="C457" s="106">
        <f t="shared" ref="C457:F457" si="1263">C455*C456</f>
        <v>0</v>
      </c>
      <c r="D457" s="106">
        <f t="shared" si="1263"/>
        <v>0</v>
      </c>
      <c r="E457" s="106">
        <f t="shared" si="1263"/>
        <v>0</v>
      </c>
      <c r="F457" s="106">
        <f t="shared" si="1263"/>
        <v>0</v>
      </c>
      <c r="G457" s="107">
        <f>SUM(C457:F457)</f>
        <v>0</v>
      </c>
      <c r="H457" s="106">
        <f t="shared" ref="H457:M457" si="1264">H455*H456</f>
        <v>0</v>
      </c>
      <c r="I457" s="106">
        <f t="shared" si="1264"/>
        <v>0</v>
      </c>
      <c r="J457" s="106">
        <f t="shared" si="1264"/>
        <v>0</v>
      </c>
      <c r="K457" s="106">
        <f t="shared" si="1264"/>
        <v>0</v>
      </c>
      <c r="L457" s="106">
        <f t="shared" si="1264"/>
        <v>0</v>
      </c>
      <c r="M457" s="106">
        <f t="shared" si="1264"/>
        <v>0</v>
      </c>
      <c r="N457" s="106">
        <f t="shared" ref="N457:AO457" si="1265">N455*N456</f>
        <v>0</v>
      </c>
      <c r="O457" s="106">
        <f t="shared" si="1265"/>
        <v>0</v>
      </c>
      <c r="P457" s="106">
        <f t="shared" si="1265"/>
        <v>0</v>
      </c>
      <c r="Q457" s="106">
        <f t="shared" si="1265"/>
        <v>0</v>
      </c>
      <c r="R457" s="106">
        <f t="shared" si="1265"/>
        <v>0</v>
      </c>
      <c r="S457" s="106">
        <f t="shared" si="1265"/>
        <v>0</v>
      </c>
      <c r="T457" s="107">
        <f t="shared" si="1265"/>
        <v>0</v>
      </c>
      <c r="U457" s="106">
        <f t="shared" si="1265"/>
        <v>0</v>
      </c>
      <c r="V457" s="106">
        <f t="shared" si="1265"/>
        <v>0</v>
      </c>
      <c r="W457" s="106">
        <f t="shared" si="1265"/>
        <v>38562.500000000007</v>
      </c>
      <c r="X457" s="106">
        <f t="shared" si="1265"/>
        <v>47125</v>
      </c>
      <c r="Y457" s="106">
        <f t="shared" si="1265"/>
        <v>54687.5</v>
      </c>
      <c r="Z457" s="106">
        <f t="shared" si="1265"/>
        <v>61250</v>
      </c>
      <c r="AA457" s="106">
        <f t="shared" si="1265"/>
        <v>67812.5</v>
      </c>
      <c r="AB457" s="106">
        <f t="shared" si="1265"/>
        <v>74375</v>
      </c>
      <c r="AC457" s="106">
        <f t="shared" si="1265"/>
        <v>80937.5</v>
      </c>
      <c r="AD457" s="106">
        <f t="shared" si="1265"/>
        <v>87500</v>
      </c>
      <c r="AE457" s="106">
        <f t="shared" si="1265"/>
        <v>94062.5</v>
      </c>
      <c r="AF457" s="106">
        <f t="shared" si="1265"/>
        <v>100625</v>
      </c>
      <c r="AG457" s="107">
        <f t="shared" si="1265"/>
        <v>706937.5</v>
      </c>
      <c r="AH457" s="107">
        <f t="shared" si="1265"/>
        <v>2155558.75</v>
      </c>
      <c r="AI457" s="107">
        <f t="shared" si="1265"/>
        <v>4115594.0290000001</v>
      </c>
      <c r="AJ457" s="107">
        <f t="shared" si="1265"/>
        <v>6972050.7458050027</v>
      </c>
      <c r="AK457" s="107">
        <f t="shared" si="1265"/>
        <v>10715028.003591096</v>
      </c>
      <c r="AL457" s="107">
        <f t="shared" si="1265"/>
        <v>14043876.310224324</v>
      </c>
      <c r="AM457" s="107">
        <f t="shared" si="1265"/>
        <v>16506104.155494926</v>
      </c>
      <c r="AN457" s="107">
        <f t="shared" si="1265"/>
        <v>18835006.115131181</v>
      </c>
      <c r="AO457" s="893">
        <f t="shared" si="1265"/>
        <v>21151147.968978815</v>
      </c>
      <c r="AP457" s="991"/>
    </row>
    <row r="458" spans="1:83" s="992" customFormat="1" ht="12.4" customHeight="1" x14ac:dyDescent="0.2">
      <c r="A458" s="706" t="s">
        <v>269</v>
      </c>
      <c r="B458" s="706"/>
      <c r="C458" s="706"/>
      <c r="D458" s="706"/>
      <c r="E458" s="706"/>
      <c r="F458" s="706"/>
      <c r="G458" s="910"/>
      <c r="H458" s="733"/>
      <c r="I458" s="733"/>
      <c r="J458" s="733"/>
      <c r="K458" s="733"/>
      <c r="L458" s="733"/>
      <c r="M458" s="733"/>
      <c r="N458" s="733"/>
      <c r="O458" s="733"/>
      <c r="P458" s="733"/>
      <c r="Q458" s="733"/>
      <c r="R458" s="733"/>
      <c r="S458" s="733"/>
      <c r="T458" s="805"/>
      <c r="U458" s="733"/>
      <c r="V458" s="733"/>
      <c r="W458" s="733"/>
      <c r="X458" s="733"/>
      <c r="Y458" s="733"/>
      <c r="Z458" s="733"/>
      <c r="AA458" s="733"/>
      <c r="AB458" s="733"/>
      <c r="AC458" s="733"/>
      <c r="AD458" s="733"/>
      <c r="AE458" s="733"/>
      <c r="AF458" s="733"/>
      <c r="AG458" s="923">
        <f>AG457/AG452</f>
        <v>6.6666666666666666E-2</v>
      </c>
      <c r="AH458" s="923">
        <f>AH457/AH452</f>
        <v>6.666666666666668E-2</v>
      </c>
      <c r="AI458" s="923">
        <f>AI457/AI452</f>
        <v>6.666666666666668E-2</v>
      </c>
      <c r="AJ458" s="923">
        <f>AJ457/AJ452</f>
        <v>6.6666666666666707E-2</v>
      </c>
      <c r="AK458" s="910"/>
      <c r="AL458" s="910"/>
      <c r="AM458" s="910"/>
      <c r="AN458" s="910"/>
      <c r="AO458" s="1011"/>
      <c r="AP458" s="828"/>
    </row>
    <row r="459" spans="1:83" s="34" customFormat="1" ht="16.899999999999999" customHeight="1" thickBot="1" x14ac:dyDescent="0.25">
      <c r="A459" s="83" t="s">
        <v>263</v>
      </c>
      <c r="B459" s="854"/>
      <c r="C459" s="698">
        <f>C454</f>
        <v>41153</v>
      </c>
      <c r="D459" s="698">
        <f t="shared" ref="D459:G459" si="1266">D454</f>
        <v>41183</v>
      </c>
      <c r="E459" s="698">
        <f t="shared" si="1266"/>
        <v>41214</v>
      </c>
      <c r="F459" s="698">
        <f t="shared" si="1266"/>
        <v>41244</v>
      </c>
      <c r="G459" s="907">
        <f t="shared" si="1266"/>
        <v>2012</v>
      </c>
      <c r="H459" s="698">
        <f>H2</f>
        <v>41275</v>
      </c>
      <c r="I459" s="698">
        <f t="shared" ref="I459:AO459" si="1267">I2</f>
        <v>41306</v>
      </c>
      <c r="J459" s="698">
        <f t="shared" si="1267"/>
        <v>41334</v>
      </c>
      <c r="K459" s="698">
        <f t="shared" si="1267"/>
        <v>41365</v>
      </c>
      <c r="L459" s="698">
        <f t="shared" si="1267"/>
        <v>41395</v>
      </c>
      <c r="M459" s="698">
        <f t="shared" si="1267"/>
        <v>41426</v>
      </c>
      <c r="N459" s="698">
        <f t="shared" si="1267"/>
        <v>41456</v>
      </c>
      <c r="O459" s="698">
        <f t="shared" si="1267"/>
        <v>41487</v>
      </c>
      <c r="P459" s="698">
        <f t="shared" si="1267"/>
        <v>41518</v>
      </c>
      <c r="Q459" s="698">
        <f t="shared" si="1267"/>
        <v>41548</v>
      </c>
      <c r="R459" s="698">
        <f t="shared" si="1267"/>
        <v>41579</v>
      </c>
      <c r="S459" s="698">
        <f t="shared" si="1267"/>
        <v>41609</v>
      </c>
      <c r="T459" s="907">
        <f t="shared" si="1267"/>
        <v>2013</v>
      </c>
      <c r="U459" s="698">
        <f t="shared" si="1267"/>
        <v>41640</v>
      </c>
      <c r="V459" s="698">
        <f t="shared" si="1267"/>
        <v>41671</v>
      </c>
      <c r="W459" s="698">
        <f t="shared" si="1267"/>
        <v>41699</v>
      </c>
      <c r="X459" s="698">
        <f t="shared" si="1267"/>
        <v>41730</v>
      </c>
      <c r="Y459" s="698">
        <f t="shared" si="1267"/>
        <v>41760</v>
      </c>
      <c r="Z459" s="698">
        <f t="shared" si="1267"/>
        <v>41791</v>
      </c>
      <c r="AA459" s="698">
        <f t="shared" si="1267"/>
        <v>41821</v>
      </c>
      <c r="AB459" s="698">
        <f t="shared" si="1267"/>
        <v>41852</v>
      </c>
      <c r="AC459" s="698">
        <f t="shared" si="1267"/>
        <v>41883</v>
      </c>
      <c r="AD459" s="698">
        <f t="shared" si="1267"/>
        <v>41913</v>
      </c>
      <c r="AE459" s="698">
        <f t="shared" si="1267"/>
        <v>41944</v>
      </c>
      <c r="AF459" s="698">
        <f t="shared" si="1267"/>
        <v>41974</v>
      </c>
      <c r="AG459" s="907">
        <f t="shared" si="1267"/>
        <v>2014</v>
      </c>
      <c r="AH459" s="907">
        <f t="shared" si="1267"/>
        <v>2015</v>
      </c>
      <c r="AI459" s="907">
        <f t="shared" si="1267"/>
        <v>2016</v>
      </c>
      <c r="AJ459" s="907">
        <f t="shared" si="1267"/>
        <v>2017</v>
      </c>
      <c r="AK459" s="907">
        <f t="shared" si="1267"/>
        <v>2018</v>
      </c>
      <c r="AL459" s="907">
        <f t="shared" si="1267"/>
        <v>2019</v>
      </c>
      <c r="AM459" s="907">
        <f t="shared" si="1267"/>
        <v>2020</v>
      </c>
      <c r="AN459" s="907">
        <f t="shared" si="1267"/>
        <v>2021</v>
      </c>
      <c r="AO459" s="1006">
        <f t="shared" si="1267"/>
        <v>2022</v>
      </c>
      <c r="AP459" s="991"/>
    </row>
    <row r="460" spans="1:83" s="34" customFormat="1" ht="12.4" customHeight="1" x14ac:dyDescent="0.2">
      <c r="A460" s="1" t="s">
        <v>260</v>
      </c>
      <c r="B460" s="1"/>
      <c r="C460" s="767">
        <f>$G460/4</f>
        <v>0</v>
      </c>
      <c r="D460" s="767">
        <f t="shared" ref="D460:F460" si="1268">$G460/4</f>
        <v>0</v>
      </c>
      <c r="E460" s="767">
        <f t="shared" si="1268"/>
        <v>0</v>
      </c>
      <c r="F460" s="767">
        <f t="shared" si="1268"/>
        <v>0</v>
      </c>
      <c r="G460" s="911">
        <v>0</v>
      </c>
      <c r="H460" s="767">
        <f>$T460/12</f>
        <v>0</v>
      </c>
      <c r="I460" s="767">
        <f t="shared" ref="I460:S460" si="1269">$T460/12</f>
        <v>0</v>
      </c>
      <c r="J460" s="767">
        <f t="shared" si="1269"/>
        <v>0</v>
      </c>
      <c r="K460" s="767">
        <f t="shared" si="1269"/>
        <v>0</v>
      </c>
      <c r="L460" s="767">
        <f t="shared" si="1269"/>
        <v>0</v>
      </c>
      <c r="M460" s="767">
        <f t="shared" si="1269"/>
        <v>0</v>
      </c>
      <c r="N460" s="767">
        <f t="shared" si="1269"/>
        <v>0</v>
      </c>
      <c r="O460" s="767">
        <f t="shared" si="1269"/>
        <v>0</v>
      </c>
      <c r="P460" s="767">
        <f t="shared" si="1269"/>
        <v>0</v>
      </c>
      <c r="Q460" s="767">
        <f t="shared" si="1269"/>
        <v>0</v>
      </c>
      <c r="R460" s="767">
        <f t="shared" si="1269"/>
        <v>0</v>
      </c>
      <c r="S460" s="767">
        <f t="shared" si="1269"/>
        <v>0</v>
      </c>
      <c r="T460" s="911">
        <v>0</v>
      </c>
      <c r="U460" s="767">
        <f>$AG460/12</f>
        <v>8333.3333333333339</v>
      </c>
      <c r="V460" s="767">
        <f t="shared" ref="V460:AF460" si="1270">$AG460/12</f>
        <v>8333.3333333333339</v>
      </c>
      <c r="W460" s="767">
        <f t="shared" si="1270"/>
        <v>8333.3333333333339</v>
      </c>
      <c r="X460" s="767">
        <f t="shared" si="1270"/>
        <v>8333.3333333333339</v>
      </c>
      <c r="Y460" s="767">
        <f t="shared" si="1270"/>
        <v>8333.3333333333339</v>
      </c>
      <c r="Z460" s="767">
        <f t="shared" si="1270"/>
        <v>8333.3333333333339</v>
      </c>
      <c r="AA460" s="767">
        <f t="shared" si="1270"/>
        <v>8333.3333333333339</v>
      </c>
      <c r="AB460" s="767">
        <f t="shared" si="1270"/>
        <v>8333.3333333333339</v>
      </c>
      <c r="AC460" s="767">
        <f t="shared" si="1270"/>
        <v>8333.3333333333339</v>
      </c>
      <c r="AD460" s="767">
        <f t="shared" si="1270"/>
        <v>8333.3333333333339</v>
      </c>
      <c r="AE460" s="767">
        <f t="shared" si="1270"/>
        <v>8333.3333333333339</v>
      </c>
      <c r="AF460" s="767">
        <f t="shared" si="1270"/>
        <v>8333.3333333333339</v>
      </c>
      <c r="AG460" s="911">
        <v>100000</v>
      </c>
      <c r="AH460" s="911">
        <f>AG460</f>
        <v>100000</v>
      </c>
      <c r="AI460" s="911">
        <f>AH460</f>
        <v>100000</v>
      </c>
      <c r="AJ460" s="911">
        <f t="shared" ref="AJ460:AO460" si="1271">AI460</f>
        <v>100000</v>
      </c>
      <c r="AK460" s="911">
        <f t="shared" si="1271"/>
        <v>100000</v>
      </c>
      <c r="AL460" s="911">
        <f t="shared" si="1271"/>
        <v>100000</v>
      </c>
      <c r="AM460" s="911">
        <f t="shared" si="1271"/>
        <v>100000</v>
      </c>
      <c r="AN460" s="911">
        <f t="shared" si="1271"/>
        <v>100000</v>
      </c>
      <c r="AO460" s="1012">
        <f t="shared" si="1271"/>
        <v>100000</v>
      </c>
      <c r="AP460" s="991"/>
    </row>
    <row r="461" spans="1:83" s="34" customFormat="1" ht="12.4" customHeight="1" x14ac:dyDescent="0.2">
      <c r="A461" s="1"/>
      <c r="B461" s="1"/>
      <c r="C461" s="693"/>
      <c r="D461" s="693"/>
      <c r="E461" s="693"/>
      <c r="F461" s="693"/>
      <c r="G461" s="31"/>
      <c r="H461" s="693"/>
      <c r="I461" s="693"/>
      <c r="J461" s="693"/>
      <c r="K461" s="693"/>
      <c r="L461" s="693"/>
      <c r="M461" s="693"/>
      <c r="N461" s="693"/>
      <c r="O461" s="693"/>
      <c r="P461" s="693"/>
      <c r="Q461" s="693"/>
      <c r="R461" s="693"/>
      <c r="S461" s="693"/>
      <c r="T461" s="223"/>
      <c r="U461" s="693"/>
      <c r="V461" s="693"/>
      <c r="W461" s="693"/>
      <c r="X461" s="693"/>
      <c r="Y461" s="693"/>
      <c r="Z461" s="693"/>
      <c r="AA461" s="693"/>
      <c r="AB461" s="693"/>
      <c r="AC461" s="693"/>
      <c r="AD461" s="693"/>
      <c r="AE461" s="693"/>
      <c r="AF461" s="693"/>
      <c r="AG461" s="223"/>
      <c r="AH461" s="911"/>
      <c r="AI461" s="911"/>
      <c r="AJ461" s="911"/>
      <c r="AK461" s="911"/>
      <c r="AL461" s="911"/>
      <c r="AM461" s="911"/>
      <c r="AN461" s="911"/>
      <c r="AO461" s="1012"/>
      <c r="AP461" s="991"/>
    </row>
    <row r="462" spans="1:83" s="34" customFormat="1" ht="12.4" customHeight="1" x14ac:dyDescent="0.2">
      <c r="A462" s="1" t="s">
        <v>264</v>
      </c>
      <c r="B462" s="1"/>
      <c r="C462" s="700">
        <v>0</v>
      </c>
      <c r="D462" s="700">
        <f>C462</f>
        <v>0</v>
      </c>
      <c r="E462" s="700">
        <f t="shared" ref="E462:F462" si="1272">D462</f>
        <v>0</v>
      </c>
      <c r="F462" s="700">
        <f t="shared" si="1272"/>
        <v>0</v>
      </c>
      <c r="G462" s="912">
        <f>F462</f>
        <v>0</v>
      </c>
      <c r="H462" s="700">
        <f>F462</f>
        <v>0</v>
      </c>
      <c r="I462" s="700">
        <f t="shared" ref="I462:S462" si="1273">G462</f>
        <v>0</v>
      </c>
      <c r="J462" s="700">
        <f t="shared" si="1273"/>
        <v>0</v>
      </c>
      <c r="K462" s="700">
        <f t="shared" si="1273"/>
        <v>0</v>
      </c>
      <c r="L462" s="700">
        <f t="shared" si="1273"/>
        <v>0</v>
      </c>
      <c r="M462" s="700">
        <f t="shared" si="1273"/>
        <v>0</v>
      </c>
      <c r="N462" s="700">
        <f t="shared" si="1273"/>
        <v>0</v>
      </c>
      <c r="O462" s="700">
        <f t="shared" si="1273"/>
        <v>0</v>
      </c>
      <c r="P462" s="700">
        <f t="shared" si="1273"/>
        <v>0</v>
      </c>
      <c r="Q462" s="700">
        <f t="shared" si="1273"/>
        <v>0</v>
      </c>
      <c r="R462" s="700">
        <f t="shared" si="1273"/>
        <v>0</v>
      </c>
      <c r="S462" s="700">
        <f t="shared" si="1273"/>
        <v>0</v>
      </c>
      <c r="T462" s="920">
        <f>S462</f>
        <v>0</v>
      </c>
      <c r="U462" s="700">
        <f>S462</f>
        <v>0</v>
      </c>
      <c r="V462" s="700">
        <f>U462</f>
        <v>0</v>
      </c>
      <c r="W462" s="700">
        <f t="shared" ref="W462:AG462" si="1274">V462</f>
        <v>0</v>
      </c>
      <c r="X462" s="700">
        <f t="shared" si="1274"/>
        <v>0</v>
      </c>
      <c r="Y462" s="700">
        <f t="shared" si="1274"/>
        <v>0</v>
      </c>
      <c r="Z462" s="700">
        <f t="shared" si="1274"/>
        <v>0</v>
      </c>
      <c r="AA462" s="700">
        <f t="shared" si="1274"/>
        <v>0</v>
      </c>
      <c r="AB462" s="700">
        <f t="shared" si="1274"/>
        <v>0</v>
      </c>
      <c r="AC462" s="700">
        <f t="shared" si="1274"/>
        <v>0</v>
      </c>
      <c r="AD462" s="700">
        <f t="shared" si="1274"/>
        <v>0</v>
      </c>
      <c r="AE462" s="700">
        <f t="shared" si="1274"/>
        <v>0</v>
      </c>
      <c r="AF462" s="700">
        <f t="shared" si="1274"/>
        <v>0</v>
      </c>
      <c r="AG462" s="920">
        <f t="shared" si="1274"/>
        <v>0</v>
      </c>
      <c r="AH462" s="914">
        <v>0.25</v>
      </c>
      <c r="AI462" s="914">
        <f>AH462</f>
        <v>0.25</v>
      </c>
      <c r="AJ462" s="914">
        <f t="shared" ref="AJ462:AO462" si="1275">AI462</f>
        <v>0.25</v>
      </c>
      <c r="AK462" s="914">
        <f t="shared" si="1275"/>
        <v>0.25</v>
      </c>
      <c r="AL462" s="914">
        <f t="shared" si="1275"/>
        <v>0.25</v>
      </c>
      <c r="AM462" s="914">
        <f t="shared" si="1275"/>
        <v>0.25</v>
      </c>
      <c r="AN462" s="914">
        <f t="shared" si="1275"/>
        <v>0.25</v>
      </c>
      <c r="AO462" s="1013">
        <f t="shared" si="1275"/>
        <v>0.25</v>
      </c>
      <c r="AP462" s="991"/>
    </row>
    <row r="463" spans="1:83" s="34" customFormat="1" ht="12.4" customHeight="1" x14ac:dyDescent="0.2">
      <c r="A463" s="18" t="s">
        <v>265</v>
      </c>
      <c r="B463" s="18"/>
      <c r="C463" s="702">
        <f t="shared" ref="C463:D463" si="1276">(C9+C36+C63+C90+C117+C144+C171+C198+C225+C252+C279+C306+C333+C360+C387+C414)*C25*C462</f>
        <v>0</v>
      </c>
      <c r="D463" s="702">
        <f t="shared" si="1276"/>
        <v>0</v>
      </c>
      <c r="E463" s="702">
        <f t="shared" ref="E463:H463" si="1277">(E9+E36+E63+E90+E117+E144+E171+E198+E225+E252+E279+E306+E333+E360+E387+E414)*E25*E462</f>
        <v>0</v>
      </c>
      <c r="F463" s="702">
        <f t="shared" si="1277"/>
        <v>0</v>
      </c>
      <c r="G463" s="913">
        <f t="shared" si="1277"/>
        <v>0</v>
      </c>
      <c r="H463" s="702">
        <f t="shared" si="1277"/>
        <v>0</v>
      </c>
      <c r="I463" s="702">
        <f t="shared" ref="I463:S463" si="1278">(I9+I36+I63+I90+I117+I144+I171+I198+I225+I252+I279+I306+I333+I360+I387+I414)*I25*I462</f>
        <v>0</v>
      </c>
      <c r="J463" s="702">
        <f t="shared" si="1278"/>
        <v>0</v>
      </c>
      <c r="K463" s="702">
        <f t="shared" si="1278"/>
        <v>0</v>
      </c>
      <c r="L463" s="702">
        <f t="shared" si="1278"/>
        <v>0</v>
      </c>
      <c r="M463" s="702">
        <f t="shared" si="1278"/>
        <v>0</v>
      </c>
      <c r="N463" s="702">
        <f t="shared" si="1278"/>
        <v>0</v>
      </c>
      <c r="O463" s="702">
        <f t="shared" si="1278"/>
        <v>0</v>
      </c>
      <c r="P463" s="702">
        <f t="shared" si="1278"/>
        <v>0</v>
      </c>
      <c r="Q463" s="702">
        <f t="shared" si="1278"/>
        <v>0</v>
      </c>
      <c r="R463" s="702">
        <f t="shared" si="1278"/>
        <v>0</v>
      </c>
      <c r="S463" s="702">
        <f t="shared" si="1278"/>
        <v>0</v>
      </c>
      <c r="T463" s="913">
        <f t="shared" ref="T463:AO463" si="1279">(T9+T36+T63+T90+T117+T144+T171+T198+T225+T252+T279+T306+T333+T360+T387+T414)*T25*T462</f>
        <v>0</v>
      </c>
      <c r="U463" s="702">
        <f t="shared" si="1279"/>
        <v>0</v>
      </c>
      <c r="V463" s="702">
        <f t="shared" si="1279"/>
        <v>0</v>
      </c>
      <c r="W463" s="702">
        <f t="shared" si="1279"/>
        <v>0</v>
      </c>
      <c r="X463" s="702">
        <f t="shared" si="1279"/>
        <v>0</v>
      </c>
      <c r="Y463" s="702">
        <f t="shared" si="1279"/>
        <v>0</v>
      </c>
      <c r="Z463" s="702">
        <f t="shared" si="1279"/>
        <v>0</v>
      </c>
      <c r="AA463" s="702">
        <f t="shared" si="1279"/>
        <v>0</v>
      </c>
      <c r="AB463" s="702">
        <f t="shared" si="1279"/>
        <v>0</v>
      </c>
      <c r="AC463" s="702">
        <f t="shared" si="1279"/>
        <v>0</v>
      </c>
      <c r="AD463" s="702">
        <f t="shared" si="1279"/>
        <v>0</v>
      </c>
      <c r="AE463" s="702">
        <f t="shared" si="1279"/>
        <v>0</v>
      </c>
      <c r="AF463" s="702">
        <f t="shared" si="1279"/>
        <v>0</v>
      </c>
      <c r="AG463" s="913">
        <f t="shared" si="1279"/>
        <v>0</v>
      </c>
      <c r="AH463" s="913">
        <f t="shared" si="1279"/>
        <v>6133345.3125</v>
      </c>
      <c r="AI463" s="913">
        <f t="shared" si="1279"/>
        <v>13483477.608749999</v>
      </c>
      <c r="AJ463" s="913">
        <f t="shared" si="1279"/>
        <v>24195190.296768758</v>
      </c>
      <c r="AK463" s="913">
        <f t="shared" si="1279"/>
        <v>38231355.013466626</v>
      </c>
      <c r="AL463" s="913">
        <f t="shared" si="1279"/>
        <v>50714536.163341202</v>
      </c>
      <c r="AM463" s="913">
        <f t="shared" si="1279"/>
        <v>59947890.583105974</v>
      </c>
      <c r="AN463" s="913">
        <f t="shared" si="1279"/>
        <v>68681272.931741923</v>
      </c>
      <c r="AO463" s="1014">
        <f t="shared" si="1279"/>
        <v>77366804.883670568</v>
      </c>
      <c r="AP463" s="991"/>
    </row>
    <row r="464" spans="1:83" s="34" customFormat="1" ht="12.4" customHeight="1" thickBot="1" x14ac:dyDescent="0.25">
      <c r="A464"/>
      <c r="B464"/>
      <c r="C464" s="108"/>
      <c r="D464" s="108"/>
      <c r="E464" s="108"/>
      <c r="F464" s="108"/>
      <c r="G464" s="31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55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31"/>
      <c r="AH464" s="57"/>
      <c r="AI464" s="57"/>
      <c r="AJ464" s="57"/>
      <c r="AK464" s="31"/>
      <c r="AL464" s="31"/>
      <c r="AM464" s="31"/>
      <c r="AN464" s="268"/>
      <c r="AO464" s="1009"/>
      <c r="AP464" s="991"/>
    </row>
    <row r="465" spans="1:42" s="34" customFormat="1" ht="12.4" customHeight="1" x14ac:dyDescent="0.2">
      <c r="A465" s="105" t="s">
        <v>266</v>
      </c>
      <c r="B465" s="859"/>
      <c r="C465" s="106">
        <f t="shared" ref="C465:D465" si="1280">C460+C463</f>
        <v>0</v>
      </c>
      <c r="D465" s="106">
        <f t="shared" si="1280"/>
        <v>0</v>
      </c>
      <c r="E465" s="106">
        <f t="shared" ref="E465:F465" si="1281">E460+E463</f>
        <v>0</v>
      </c>
      <c r="F465" s="106">
        <f t="shared" si="1281"/>
        <v>0</v>
      </c>
      <c r="G465" s="107">
        <f>SUM(C465:F465)</f>
        <v>0</v>
      </c>
      <c r="H465" s="106">
        <f t="shared" ref="H465" si="1282">H460+H463</f>
        <v>0</v>
      </c>
      <c r="I465" s="106">
        <f t="shared" ref="I465:S465" si="1283">I460+I463</f>
        <v>0</v>
      </c>
      <c r="J465" s="106">
        <f t="shared" si="1283"/>
        <v>0</v>
      </c>
      <c r="K465" s="106">
        <f t="shared" si="1283"/>
        <v>0</v>
      </c>
      <c r="L465" s="106">
        <f t="shared" si="1283"/>
        <v>0</v>
      </c>
      <c r="M465" s="106">
        <f t="shared" si="1283"/>
        <v>0</v>
      </c>
      <c r="N465" s="106">
        <f t="shared" si="1283"/>
        <v>0</v>
      </c>
      <c r="O465" s="106">
        <f t="shared" si="1283"/>
        <v>0</v>
      </c>
      <c r="P465" s="106">
        <f t="shared" si="1283"/>
        <v>0</v>
      </c>
      <c r="Q465" s="106">
        <f t="shared" si="1283"/>
        <v>0</v>
      </c>
      <c r="R465" s="106">
        <f t="shared" si="1283"/>
        <v>0</v>
      </c>
      <c r="S465" s="106">
        <f t="shared" si="1283"/>
        <v>0</v>
      </c>
      <c r="T465" s="107">
        <f>SUM(H465:S465)</f>
        <v>0</v>
      </c>
      <c r="U465" s="106">
        <f>U460+U463</f>
        <v>8333.3333333333339</v>
      </c>
      <c r="V465" s="106">
        <f t="shared" ref="V465:AF465" si="1284">V460+V463</f>
        <v>8333.3333333333339</v>
      </c>
      <c r="W465" s="106">
        <f t="shared" si="1284"/>
        <v>8333.3333333333339</v>
      </c>
      <c r="X465" s="106">
        <f t="shared" si="1284"/>
        <v>8333.3333333333339</v>
      </c>
      <c r="Y465" s="106">
        <f t="shared" si="1284"/>
        <v>8333.3333333333339</v>
      </c>
      <c r="Z465" s="106">
        <f t="shared" si="1284"/>
        <v>8333.3333333333339</v>
      </c>
      <c r="AA465" s="106">
        <f t="shared" si="1284"/>
        <v>8333.3333333333339</v>
      </c>
      <c r="AB465" s="106">
        <f t="shared" si="1284"/>
        <v>8333.3333333333339</v>
      </c>
      <c r="AC465" s="106">
        <f t="shared" si="1284"/>
        <v>8333.3333333333339</v>
      </c>
      <c r="AD465" s="106">
        <f t="shared" si="1284"/>
        <v>8333.3333333333339</v>
      </c>
      <c r="AE465" s="106">
        <f t="shared" si="1284"/>
        <v>8333.3333333333339</v>
      </c>
      <c r="AF465" s="106">
        <f t="shared" si="1284"/>
        <v>8333.3333333333339</v>
      </c>
      <c r="AG465" s="107">
        <f>SUM(U465:AF465)</f>
        <v>99999.999999999985</v>
      </c>
      <c r="AH465" s="107">
        <f t="shared" ref="AH465:AO465" si="1285">AH460+AH463</f>
        <v>6233345.3125</v>
      </c>
      <c r="AI465" s="107">
        <f t="shared" si="1285"/>
        <v>13583477.608749999</v>
      </c>
      <c r="AJ465" s="107">
        <f t="shared" si="1285"/>
        <v>24295190.296768758</v>
      </c>
      <c r="AK465" s="893">
        <f t="shared" si="1285"/>
        <v>38331355.013466626</v>
      </c>
      <c r="AL465" s="107">
        <f t="shared" si="1285"/>
        <v>50814536.163341202</v>
      </c>
      <c r="AM465" s="107">
        <f t="shared" si="1285"/>
        <v>60047890.583105974</v>
      </c>
      <c r="AN465" s="107">
        <f t="shared" si="1285"/>
        <v>68781272.931741923</v>
      </c>
      <c r="AO465" s="893">
        <f t="shared" si="1285"/>
        <v>77466804.883670568</v>
      </c>
      <c r="AP465" s="991"/>
    </row>
    <row r="466" spans="1:42" s="992" customFormat="1" ht="12.4" customHeight="1" x14ac:dyDescent="0.2">
      <c r="A466" s="706" t="s">
        <v>269</v>
      </c>
      <c r="B466" s="706"/>
      <c r="C466" s="700">
        <v>0</v>
      </c>
      <c r="D466" s="700">
        <f t="shared" ref="D466:V466" si="1286">B466</f>
        <v>0</v>
      </c>
      <c r="E466" s="700">
        <f t="shared" si="1286"/>
        <v>0</v>
      </c>
      <c r="F466" s="700">
        <f t="shared" si="1286"/>
        <v>0</v>
      </c>
      <c r="G466" s="914">
        <f t="shared" si="1286"/>
        <v>0</v>
      </c>
      <c r="H466" s="700">
        <f t="shared" si="1286"/>
        <v>0</v>
      </c>
      <c r="I466" s="700">
        <f t="shared" si="1286"/>
        <v>0</v>
      </c>
      <c r="J466" s="700">
        <f t="shared" si="1286"/>
        <v>0</v>
      </c>
      <c r="K466" s="700">
        <f t="shared" si="1286"/>
        <v>0</v>
      </c>
      <c r="L466" s="700">
        <f t="shared" si="1286"/>
        <v>0</v>
      </c>
      <c r="M466" s="700">
        <f t="shared" si="1286"/>
        <v>0</v>
      </c>
      <c r="N466" s="700">
        <f t="shared" si="1286"/>
        <v>0</v>
      </c>
      <c r="O466" s="700">
        <f t="shared" si="1286"/>
        <v>0</v>
      </c>
      <c r="P466" s="700">
        <f t="shared" si="1286"/>
        <v>0</v>
      </c>
      <c r="Q466" s="700">
        <f t="shared" si="1286"/>
        <v>0</v>
      </c>
      <c r="R466" s="700">
        <f t="shared" si="1286"/>
        <v>0</v>
      </c>
      <c r="S466" s="700">
        <f t="shared" si="1286"/>
        <v>0</v>
      </c>
      <c r="T466" s="914">
        <f t="shared" si="1286"/>
        <v>0</v>
      </c>
      <c r="U466" s="700">
        <f t="shared" si="1286"/>
        <v>0</v>
      </c>
      <c r="V466" s="700">
        <f t="shared" si="1286"/>
        <v>0</v>
      </c>
      <c r="W466" s="806">
        <f t="shared" ref="W466:AF466" si="1287">W465/W452</f>
        <v>1.4406627048442281E-2</v>
      </c>
      <c r="X466" s="806">
        <f t="shared" si="1287"/>
        <v>1.1788977306218687E-2</v>
      </c>
      <c r="Y466" s="806">
        <f t="shared" si="1287"/>
        <v>1.0158730158730159E-2</v>
      </c>
      <c r="Z466" s="806">
        <f t="shared" si="1287"/>
        <v>9.0702947845804991E-3</v>
      </c>
      <c r="AA466" s="806">
        <f t="shared" si="1287"/>
        <v>8.1925243215565796E-3</v>
      </c>
      <c r="AB466" s="806">
        <f t="shared" si="1287"/>
        <v>7.4696545284780582E-3</v>
      </c>
      <c r="AC466" s="806">
        <f t="shared" si="1287"/>
        <v>6.8640068640068649E-3</v>
      </c>
      <c r="AD466" s="806">
        <f t="shared" si="1287"/>
        <v>6.3492063492063501E-3</v>
      </c>
      <c r="AE466" s="806">
        <f t="shared" si="1287"/>
        <v>5.9062384643779999E-3</v>
      </c>
      <c r="AF466" s="806">
        <f t="shared" si="1287"/>
        <v>5.521048999309869E-3</v>
      </c>
      <c r="AG466" s="923">
        <f>AG465/AG452</f>
        <v>9.4303480387823053E-3</v>
      </c>
      <c r="AH466" s="923">
        <f>AH465/AH452</f>
        <v>0.19278358994699946</v>
      </c>
      <c r="AI466" s="923">
        <f>AI465/AI452</f>
        <v>0.22003267755170189</v>
      </c>
      <c r="AJ466" s="923">
        <f>AJ465/AJ452</f>
        <v>0.23231032190815012</v>
      </c>
      <c r="AK466" s="923">
        <f t="shared" ref="AK466:AO466" si="1288">AK465/AK452</f>
        <v>0.23848968632727799</v>
      </c>
      <c r="AL466" s="923">
        <f t="shared" si="1288"/>
        <v>0.241217999175659</v>
      </c>
      <c r="AM466" s="923">
        <f t="shared" si="1288"/>
        <v>0.24252801677661315</v>
      </c>
      <c r="AN466" s="923">
        <f t="shared" si="1288"/>
        <v>0.24345190903685165</v>
      </c>
      <c r="AO466" s="923">
        <f t="shared" si="1288"/>
        <v>0.2441689532164297</v>
      </c>
      <c r="AP466" s="828"/>
    </row>
    <row r="467" spans="1:42" ht="12.4" customHeight="1" x14ac:dyDescent="0.2">
      <c r="A467"/>
      <c r="B467"/>
      <c r="C467"/>
      <c r="D467"/>
      <c r="E467"/>
      <c r="F467"/>
      <c r="G467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20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/>
      <c r="AH467" s="109"/>
      <c r="AI467" s="109"/>
      <c r="AJ467" s="109"/>
      <c r="AK467"/>
      <c r="AL467"/>
      <c r="AM467"/>
      <c r="AO467"/>
      <c r="AP467" s="32"/>
    </row>
    <row r="468" spans="1:42" ht="12.4" customHeight="1" x14ac:dyDescent="0.2">
      <c r="A468"/>
      <c r="B468"/>
      <c r="C468"/>
      <c r="D468"/>
      <c r="E468"/>
      <c r="F468"/>
      <c r="G468"/>
      <c r="H468"/>
      <c r="I468"/>
      <c r="J468"/>
      <c r="L468"/>
      <c r="M468"/>
      <c r="N468"/>
      <c r="O468"/>
    </row>
    <row r="469" spans="1:42" ht="12.4" customHeight="1" x14ac:dyDescent="0.2">
      <c r="A469"/>
      <c r="B469"/>
      <c r="C469"/>
      <c r="D469"/>
      <c r="E469"/>
      <c r="F469"/>
      <c r="G469"/>
      <c r="H469"/>
      <c r="I469"/>
      <c r="J469"/>
      <c r="L469"/>
      <c r="M469"/>
      <c r="N469"/>
      <c r="O469"/>
    </row>
    <row r="470" spans="1:42" ht="12.4" customHeight="1" x14ac:dyDescent="0.2">
      <c r="A470"/>
      <c r="B470"/>
      <c r="C470"/>
      <c r="D470"/>
      <c r="E470"/>
      <c r="F470"/>
      <c r="G470" s="22"/>
      <c r="I470"/>
      <c r="J470"/>
      <c r="L470"/>
      <c r="M470"/>
      <c r="N470"/>
      <c r="O470"/>
    </row>
    <row r="471" spans="1:42" ht="12.4" customHeight="1" x14ac:dyDescent="0.2">
      <c r="A471"/>
      <c r="B471"/>
      <c r="C471"/>
      <c r="D471"/>
      <c r="E471"/>
      <c r="F471"/>
      <c r="I471"/>
      <c r="J471" s="22"/>
      <c r="L471"/>
      <c r="M471"/>
      <c r="N471"/>
      <c r="O471"/>
    </row>
    <row r="472" spans="1:42" ht="12.4" customHeight="1" x14ac:dyDescent="0.2">
      <c r="A472"/>
      <c r="B472"/>
      <c r="C472"/>
      <c r="D472"/>
      <c r="E472"/>
      <c r="F472"/>
      <c r="I472"/>
      <c r="J472" s="22"/>
      <c r="L472"/>
      <c r="M472"/>
      <c r="N472"/>
      <c r="O472"/>
    </row>
    <row r="473" spans="1:42" ht="12.4" customHeight="1" x14ac:dyDescent="0.2">
      <c r="A473"/>
      <c r="B473"/>
      <c r="C473"/>
      <c r="D473"/>
      <c r="E473"/>
      <c r="F473"/>
      <c r="I473" s="22"/>
      <c r="L473"/>
      <c r="M473"/>
      <c r="N473"/>
      <c r="O473"/>
    </row>
    <row r="474" spans="1:42" ht="12.4" customHeight="1" x14ac:dyDescent="0.2">
      <c r="A474"/>
      <c r="B474"/>
      <c r="C474"/>
      <c r="D474"/>
      <c r="E474"/>
      <c r="F474"/>
      <c r="L474"/>
      <c r="M474"/>
      <c r="N474"/>
      <c r="O474"/>
    </row>
    <row r="475" spans="1:42" ht="12.4" customHeight="1" x14ac:dyDescent="0.2">
      <c r="A475"/>
      <c r="B475"/>
      <c r="C475"/>
      <c r="D475"/>
      <c r="E475"/>
      <c r="F475"/>
      <c r="L475"/>
      <c r="M475"/>
      <c r="N475"/>
      <c r="O475"/>
    </row>
    <row r="476" spans="1:42" ht="12.4" customHeight="1" x14ac:dyDescent="0.2">
      <c r="A476"/>
      <c r="B476"/>
      <c r="C476"/>
      <c r="D476"/>
      <c r="E476"/>
      <c r="F476"/>
      <c r="L476"/>
      <c r="M476"/>
      <c r="N476"/>
      <c r="O476"/>
    </row>
    <row r="477" spans="1:42" ht="12.4" customHeight="1" x14ac:dyDescent="0.2">
      <c r="A477"/>
      <c r="B477"/>
      <c r="C477"/>
      <c r="D477"/>
      <c r="E477"/>
      <c r="F477"/>
      <c r="L477"/>
      <c r="M477"/>
      <c r="N477"/>
      <c r="O477"/>
    </row>
    <row r="478" spans="1:42" ht="12.4" customHeight="1" x14ac:dyDescent="0.2">
      <c r="A478"/>
      <c r="B478"/>
      <c r="C478"/>
      <c r="D478"/>
      <c r="E478"/>
      <c r="F478"/>
      <c r="L478"/>
      <c r="M478"/>
      <c r="N478"/>
      <c r="O478"/>
    </row>
    <row r="479" spans="1:42" ht="12.4" customHeight="1" x14ac:dyDescent="0.2">
      <c r="A479"/>
      <c r="B479"/>
      <c r="C479"/>
      <c r="D479"/>
      <c r="E479"/>
      <c r="F479"/>
      <c r="L479"/>
      <c r="M479"/>
      <c r="N479"/>
      <c r="O479"/>
    </row>
    <row r="480" spans="1:42" ht="12.4" customHeight="1" x14ac:dyDescent="0.2">
      <c r="A480"/>
      <c r="B480"/>
      <c r="C480"/>
      <c r="D480"/>
      <c r="E480"/>
      <c r="F480"/>
      <c r="O480"/>
    </row>
    <row r="481" spans="1:17" ht="12.4" customHeight="1" x14ac:dyDescent="0.2">
      <c r="A481"/>
      <c r="B481"/>
      <c r="C481"/>
      <c r="D481"/>
      <c r="E481"/>
      <c r="F481"/>
    </row>
    <row r="484" spans="1:17" ht="12.4" customHeight="1" x14ac:dyDescent="0.2">
      <c r="L484"/>
      <c r="M484"/>
      <c r="N484"/>
      <c r="O484"/>
      <c r="P484"/>
      <c r="Q484"/>
    </row>
    <row r="485" spans="1:17" ht="12.4" customHeight="1" x14ac:dyDescent="0.2">
      <c r="L485"/>
      <c r="M485"/>
      <c r="N485"/>
      <c r="O485"/>
      <c r="P485"/>
      <c r="Q485"/>
    </row>
    <row r="486" spans="1:17" ht="12.4" customHeight="1" x14ac:dyDescent="0.2">
      <c r="L486"/>
      <c r="M486"/>
      <c r="N486"/>
      <c r="O486"/>
      <c r="P486"/>
      <c r="Q486"/>
    </row>
    <row r="487" spans="1:17" ht="12.4" customHeight="1" x14ac:dyDescent="0.2">
      <c r="L487"/>
      <c r="M487"/>
      <c r="N487"/>
      <c r="O487"/>
      <c r="P487"/>
      <c r="Q487"/>
    </row>
    <row r="488" spans="1:17" ht="12.4" customHeight="1" x14ac:dyDescent="0.2">
      <c r="L488"/>
      <c r="M488"/>
      <c r="N488"/>
      <c r="O488"/>
      <c r="P488"/>
      <c r="Q488"/>
    </row>
    <row r="489" spans="1:17" ht="12.4" customHeight="1" x14ac:dyDescent="0.2">
      <c r="L489"/>
      <c r="M489"/>
      <c r="N489"/>
      <c r="O489"/>
      <c r="P489"/>
      <c r="Q489"/>
    </row>
    <row r="490" spans="1:17" ht="12.4" customHeight="1" x14ac:dyDescent="0.2">
      <c r="L490"/>
      <c r="M490"/>
      <c r="N490"/>
      <c r="O490"/>
      <c r="P490"/>
      <c r="Q490"/>
    </row>
    <row r="491" spans="1:17" ht="12.4" customHeight="1" x14ac:dyDescent="0.2">
      <c r="L491"/>
      <c r="M491"/>
      <c r="N491"/>
      <c r="O491"/>
      <c r="P491"/>
      <c r="Q491"/>
    </row>
    <row r="492" spans="1:17" ht="12.4" customHeight="1" x14ac:dyDescent="0.2">
      <c r="L492"/>
      <c r="M492"/>
      <c r="N492"/>
      <c r="O492"/>
      <c r="P492"/>
      <c r="Q492"/>
    </row>
    <row r="493" spans="1:17" ht="12.4" customHeight="1" x14ac:dyDescent="0.2">
      <c r="L493"/>
      <c r="M493"/>
      <c r="N493"/>
      <c r="O493"/>
      <c r="P493"/>
      <c r="Q493"/>
    </row>
    <row r="494" spans="1:17" ht="12.4" customHeight="1" x14ac:dyDescent="0.2">
      <c r="L494"/>
      <c r="M494"/>
      <c r="N494"/>
      <c r="O494"/>
      <c r="P494"/>
      <c r="Q494"/>
    </row>
    <row r="495" spans="1:17" ht="12.4" customHeight="1" x14ac:dyDescent="0.2">
      <c r="L495"/>
      <c r="M495"/>
      <c r="N495"/>
      <c r="O495"/>
      <c r="P495"/>
      <c r="Q495"/>
    </row>
    <row r="496" spans="1:17" ht="12.4" customHeight="1" x14ac:dyDescent="0.2">
      <c r="L496"/>
      <c r="M496"/>
      <c r="N496"/>
      <c r="O496"/>
      <c r="P496"/>
      <c r="Q496"/>
    </row>
    <row r="497" spans="12:17" ht="12.4" customHeight="1" x14ac:dyDescent="0.2">
      <c r="L497"/>
      <c r="M497"/>
      <c r="N497"/>
      <c r="O497"/>
      <c r="P497"/>
      <c r="Q497"/>
    </row>
    <row r="498" spans="12:17" ht="12.4" customHeight="1" x14ac:dyDescent="0.2">
      <c r="L498"/>
      <c r="M498"/>
      <c r="N498"/>
      <c r="O498"/>
      <c r="P498"/>
      <c r="Q498"/>
    </row>
    <row r="499" spans="12:17" ht="12.4" customHeight="1" x14ac:dyDescent="0.2">
      <c r="L499"/>
      <c r="M499"/>
      <c r="N499"/>
      <c r="O499"/>
      <c r="P499"/>
      <c r="Q499"/>
    </row>
  </sheetData>
  <pageMargins left="0.25" right="0.25" top="0.75" bottom="0.75" header="0.3" footer="0.3"/>
  <pageSetup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06"/>
  <sheetViews>
    <sheetView showGridLines="0" zoomScale="85" zoomScaleNormal="85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I14" sqref="I14"/>
    </sheetView>
  </sheetViews>
  <sheetFormatPr defaultRowHeight="12.75" outlineLevelCol="1" x14ac:dyDescent="0.2"/>
  <cols>
    <col min="1" max="1" width="42.875" bestFit="1" customWidth="1"/>
    <col min="2" max="2" width="14.125" customWidth="1"/>
    <col min="3" max="6" width="14.125" customWidth="1" outlineLevel="1"/>
    <col min="7" max="7" width="14.125" customWidth="1"/>
    <col min="8" max="19" width="14.125" customWidth="1" outlineLevel="1"/>
    <col min="20" max="20" width="14.125" customWidth="1"/>
    <col min="21" max="32" width="14.125" customWidth="1" outlineLevel="1"/>
    <col min="33" max="36" width="14.125" customWidth="1"/>
    <col min="37" max="41" width="14.125" customWidth="1" outlineLevel="1"/>
    <col min="42" max="16384" width="9" style="32"/>
  </cols>
  <sheetData>
    <row r="1" spans="1:41" customFormat="1" ht="15" x14ac:dyDescent="0.2">
      <c r="A1" s="2" t="s">
        <v>325</v>
      </c>
      <c r="B1" s="3"/>
      <c r="C1" s="3"/>
      <c r="D1" s="3"/>
      <c r="E1" s="3"/>
      <c r="F1" s="3"/>
      <c r="G1" s="7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5"/>
      <c r="AH1" s="7"/>
      <c r="AI1" s="7"/>
      <c r="AJ1" s="7"/>
      <c r="AK1" s="7"/>
      <c r="AL1" s="7"/>
      <c r="AM1" s="7"/>
      <c r="AN1" s="7"/>
      <c r="AO1" s="7"/>
    </row>
    <row r="2" spans="1:41" ht="15.75" thickBot="1" x14ac:dyDescent="0.25">
      <c r="A2" s="861"/>
      <c r="B2" s="9"/>
      <c r="C2" s="703">
        <f>'Sales and COGS Forecasts'!C2</f>
        <v>41153</v>
      </c>
      <c r="D2" s="703">
        <f>'Sales and COGS Forecasts'!D2</f>
        <v>41183</v>
      </c>
      <c r="E2" s="703">
        <f>'Sales and COGS Forecasts'!E2</f>
        <v>41214</v>
      </c>
      <c r="F2" s="703">
        <f>'Sales and COGS Forecasts'!F2</f>
        <v>41244</v>
      </c>
      <c r="G2" s="926">
        <f>'Sales and COGS Forecasts'!G2</f>
        <v>2012</v>
      </c>
      <c r="H2" s="703">
        <f>'Sales and COGS Forecasts'!H2</f>
        <v>41275</v>
      </c>
      <c r="I2" s="703">
        <f>'Sales and COGS Forecasts'!I2</f>
        <v>41306</v>
      </c>
      <c r="J2" s="703">
        <f>'Sales and COGS Forecasts'!J2</f>
        <v>41334</v>
      </c>
      <c r="K2" s="703">
        <f>'Sales and COGS Forecasts'!K2</f>
        <v>41365</v>
      </c>
      <c r="L2" s="703">
        <f>'Sales and COGS Forecasts'!L2</f>
        <v>41395</v>
      </c>
      <c r="M2" s="703">
        <f>'Sales and COGS Forecasts'!M2</f>
        <v>41426</v>
      </c>
      <c r="N2" s="703">
        <f>'Sales and COGS Forecasts'!N2</f>
        <v>41456</v>
      </c>
      <c r="O2" s="703">
        <f>'Sales and COGS Forecasts'!O2</f>
        <v>41487</v>
      </c>
      <c r="P2" s="703">
        <f>'Sales and COGS Forecasts'!P2</f>
        <v>41518</v>
      </c>
      <c r="Q2" s="703">
        <f>'Sales and COGS Forecasts'!Q2</f>
        <v>41548</v>
      </c>
      <c r="R2" s="703">
        <f>'Sales and COGS Forecasts'!R2</f>
        <v>41579</v>
      </c>
      <c r="S2" s="703">
        <f>'Sales and COGS Forecasts'!S2</f>
        <v>41609</v>
      </c>
      <c r="T2" s="926">
        <f>'Sales and COGS Forecasts'!T2</f>
        <v>2013</v>
      </c>
      <c r="U2" s="703">
        <f>'Sales and COGS Forecasts'!U2</f>
        <v>41640</v>
      </c>
      <c r="V2" s="703">
        <f>'Sales and COGS Forecasts'!V2</f>
        <v>41671</v>
      </c>
      <c r="W2" s="703">
        <f>'Sales and COGS Forecasts'!W2</f>
        <v>41699</v>
      </c>
      <c r="X2" s="703">
        <f>'Sales and COGS Forecasts'!X2</f>
        <v>41730</v>
      </c>
      <c r="Y2" s="703">
        <f>'Sales and COGS Forecasts'!Y2</f>
        <v>41760</v>
      </c>
      <c r="Z2" s="703">
        <f>'Sales and COGS Forecasts'!Z2</f>
        <v>41791</v>
      </c>
      <c r="AA2" s="703">
        <f>'Sales and COGS Forecasts'!AA2</f>
        <v>41821</v>
      </c>
      <c r="AB2" s="703">
        <f>'Sales and COGS Forecasts'!AB2</f>
        <v>41852</v>
      </c>
      <c r="AC2" s="703">
        <f>'Sales and COGS Forecasts'!AC2</f>
        <v>41883</v>
      </c>
      <c r="AD2" s="703">
        <f>'Sales and COGS Forecasts'!AD2</f>
        <v>41913</v>
      </c>
      <c r="AE2" s="703">
        <f>'Sales and COGS Forecasts'!AE2</f>
        <v>41944</v>
      </c>
      <c r="AF2" s="703">
        <f>'Sales and COGS Forecasts'!AF2</f>
        <v>41974</v>
      </c>
      <c r="AG2" s="926">
        <f>'Sales and COGS Forecasts'!AG2</f>
        <v>2014</v>
      </c>
      <c r="AH2" s="926">
        <f>'Sales and COGS Forecasts'!AH2</f>
        <v>2015</v>
      </c>
      <c r="AI2" s="926">
        <f>'Sales and COGS Forecasts'!AI2</f>
        <v>2016</v>
      </c>
      <c r="AJ2" s="926">
        <f>'Sales and COGS Forecasts'!AJ2</f>
        <v>2017</v>
      </c>
      <c r="AK2" s="926">
        <f>'Sales and COGS Forecasts'!AK2</f>
        <v>2018</v>
      </c>
      <c r="AL2" s="926">
        <f>'Sales and COGS Forecasts'!AL2</f>
        <v>2019</v>
      </c>
      <c r="AM2" s="926">
        <f>'Sales and COGS Forecasts'!AM2</f>
        <v>2020</v>
      </c>
      <c r="AN2" s="926">
        <f>'Sales and COGS Forecasts'!AN2</f>
        <v>2021</v>
      </c>
      <c r="AO2" s="926">
        <f>'Sales and COGS Forecasts'!AO2</f>
        <v>2022</v>
      </c>
    </row>
    <row r="3" spans="1:41" x14ac:dyDescent="0.2">
      <c r="A3" s="14"/>
      <c r="B3" s="15"/>
      <c r="C3" s="15"/>
      <c r="D3" s="15"/>
      <c r="E3" s="15"/>
      <c r="F3" s="15"/>
      <c r="G3" s="87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/>
      <c r="AH3" s="17"/>
      <c r="AI3" s="17"/>
      <c r="AJ3" s="17"/>
      <c r="AK3" s="17"/>
      <c r="AL3" s="17"/>
      <c r="AM3" s="17"/>
      <c r="AN3" s="17"/>
      <c r="AO3" s="17"/>
    </row>
    <row r="4" spans="1:41" x14ac:dyDescent="0.2">
      <c r="A4" s="769" t="s">
        <v>343</v>
      </c>
      <c r="B4" s="15"/>
      <c r="C4" s="15"/>
      <c r="D4" s="15"/>
      <c r="E4" s="15"/>
      <c r="F4" s="15"/>
      <c r="G4" s="87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7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7"/>
      <c r="AH4" s="17"/>
      <c r="AI4" s="17"/>
      <c r="AJ4" s="17"/>
      <c r="AK4" s="17"/>
      <c r="AL4" s="17"/>
      <c r="AM4" s="17"/>
      <c r="AN4" s="17"/>
      <c r="AO4" s="17"/>
    </row>
    <row r="5" spans="1:41" x14ac:dyDescent="0.2">
      <c r="A5" s="36"/>
      <c r="B5" s="15"/>
      <c r="C5" s="15"/>
      <c r="D5" s="15"/>
      <c r="E5" s="15"/>
      <c r="F5" s="15"/>
      <c r="G5" s="87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7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7"/>
      <c r="AH5" s="17"/>
      <c r="AI5" s="17"/>
      <c r="AJ5" s="17"/>
      <c r="AK5" s="17"/>
      <c r="AL5" s="17"/>
      <c r="AM5" s="17"/>
      <c r="AN5" s="17"/>
      <c r="AO5" s="17"/>
    </row>
    <row r="6" spans="1:41" x14ac:dyDescent="0.2">
      <c r="A6" s="769" t="s">
        <v>327</v>
      </c>
      <c r="B6" s="15"/>
      <c r="C6" s="15"/>
      <c r="D6" s="15"/>
      <c r="E6" s="15"/>
      <c r="F6" s="15"/>
      <c r="G6" s="87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7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7"/>
      <c r="AH6" s="17"/>
      <c r="AI6" s="17"/>
      <c r="AJ6" s="17"/>
      <c r="AK6" s="17"/>
      <c r="AL6" s="17"/>
      <c r="AM6" s="17"/>
      <c r="AN6" s="17"/>
      <c r="AO6" s="17"/>
    </row>
    <row r="7" spans="1:41" x14ac:dyDescent="0.2">
      <c r="A7" s="36" t="s">
        <v>328</v>
      </c>
      <c r="B7" s="15"/>
      <c r="C7" s="15"/>
      <c r="D7" s="15"/>
      <c r="E7" s="15"/>
      <c r="F7" s="15"/>
      <c r="G7" s="87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6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68"/>
      <c r="AH7" s="268"/>
      <c r="AI7" s="268"/>
      <c r="AJ7" s="268"/>
      <c r="AK7" s="268"/>
      <c r="AL7" s="268"/>
      <c r="AM7" s="268"/>
      <c r="AN7" s="268"/>
      <c r="AO7" s="268"/>
    </row>
    <row r="8" spans="1:41" x14ac:dyDescent="0.2">
      <c r="A8" s="36" t="s">
        <v>330</v>
      </c>
      <c r="B8" s="15"/>
      <c r="C8" s="770">
        <v>1</v>
      </c>
      <c r="D8" s="15">
        <f t="shared" ref="D8:S9" si="0">C8</f>
        <v>1</v>
      </c>
      <c r="E8" s="15">
        <f t="shared" si="0"/>
        <v>1</v>
      </c>
      <c r="F8" s="15">
        <f t="shared" si="0"/>
        <v>1</v>
      </c>
      <c r="G8" s="875">
        <f t="shared" si="0"/>
        <v>1</v>
      </c>
      <c r="H8" s="15">
        <f t="shared" si="0"/>
        <v>1</v>
      </c>
      <c r="I8" s="15">
        <f t="shared" si="0"/>
        <v>1</v>
      </c>
      <c r="J8" s="15">
        <f t="shared" si="0"/>
        <v>1</v>
      </c>
      <c r="K8" s="15">
        <f t="shared" si="0"/>
        <v>1</v>
      </c>
      <c r="L8" s="15">
        <f t="shared" si="0"/>
        <v>1</v>
      </c>
      <c r="M8" s="15">
        <f t="shared" si="0"/>
        <v>1</v>
      </c>
      <c r="N8" s="15">
        <f t="shared" si="0"/>
        <v>1</v>
      </c>
      <c r="O8" s="15">
        <f t="shared" si="0"/>
        <v>1</v>
      </c>
      <c r="P8" s="15">
        <f t="shared" si="0"/>
        <v>1</v>
      </c>
      <c r="Q8" s="15">
        <f t="shared" si="0"/>
        <v>1</v>
      </c>
      <c r="R8" s="15">
        <f t="shared" si="0"/>
        <v>1</v>
      </c>
      <c r="S8" s="15">
        <f t="shared" si="0"/>
        <v>1</v>
      </c>
      <c r="T8" s="875">
        <f>S8</f>
        <v>1</v>
      </c>
      <c r="U8" s="15">
        <f t="shared" ref="U8:AJ8" si="1">T8</f>
        <v>1</v>
      </c>
      <c r="V8" s="15">
        <f t="shared" si="1"/>
        <v>1</v>
      </c>
      <c r="W8" s="15">
        <f t="shared" si="1"/>
        <v>1</v>
      </c>
      <c r="X8" s="15">
        <f t="shared" si="1"/>
        <v>1</v>
      </c>
      <c r="Y8" s="15">
        <f t="shared" si="1"/>
        <v>1</v>
      </c>
      <c r="Z8" s="15">
        <f t="shared" si="1"/>
        <v>1</v>
      </c>
      <c r="AA8" s="15">
        <f t="shared" si="1"/>
        <v>1</v>
      </c>
      <c r="AB8" s="15">
        <f t="shared" si="1"/>
        <v>1</v>
      </c>
      <c r="AC8" s="15">
        <f t="shared" si="1"/>
        <v>1</v>
      </c>
      <c r="AD8" s="15">
        <f t="shared" si="1"/>
        <v>1</v>
      </c>
      <c r="AE8" s="15">
        <f t="shared" si="1"/>
        <v>1</v>
      </c>
      <c r="AF8" s="15">
        <f t="shared" si="1"/>
        <v>1</v>
      </c>
      <c r="AG8" s="875">
        <f t="shared" si="1"/>
        <v>1</v>
      </c>
      <c r="AH8" s="875">
        <f t="shared" si="1"/>
        <v>1</v>
      </c>
      <c r="AI8" s="875">
        <f t="shared" si="1"/>
        <v>1</v>
      </c>
      <c r="AJ8" s="875">
        <f t="shared" si="1"/>
        <v>1</v>
      </c>
      <c r="AK8" s="875">
        <f t="shared" ref="AI8:AO9" si="2">AJ8</f>
        <v>1</v>
      </c>
      <c r="AL8" s="875">
        <f t="shared" si="2"/>
        <v>1</v>
      </c>
      <c r="AM8" s="875">
        <f t="shared" si="2"/>
        <v>1</v>
      </c>
      <c r="AN8" s="875">
        <f t="shared" si="2"/>
        <v>1</v>
      </c>
      <c r="AO8" s="875">
        <f t="shared" si="2"/>
        <v>1</v>
      </c>
    </row>
    <row r="9" spans="1:41" x14ac:dyDescent="0.2">
      <c r="A9" s="36" t="s">
        <v>331</v>
      </c>
      <c r="B9" s="15"/>
      <c r="C9" s="771">
        <v>0</v>
      </c>
      <c r="D9" s="771">
        <v>0</v>
      </c>
      <c r="E9" s="771">
        <v>0</v>
      </c>
      <c r="F9" s="771">
        <v>0</v>
      </c>
      <c r="G9" s="956">
        <v>0</v>
      </c>
      <c r="H9" s="255">
        <f>$T9/12</f>
        <v>10000</v>
      </c>
      <c r="I9" s="255">
        <f>H9</f>
        <v>10000</v>
      </c>
      <c r="J9" s="255">
        <f t="shared" si="0"/>
        <v>10000</v>
      </c>
      <c r="K9" s="255">
        <f>J9</f>
        <v>10000</v>
      </c>
      <c r="L9" s="255">
        <f t="shared" si="0"/>
        <v>10000</v>
      </c>
      <c r="M9" s="255">
        <f t="shared" si="0"/>
        <v>10000</v>
      </c>
      <c r="N9" s="255">
        <f t="shared" si="0"/>
        <v>10000</v>
      </c>
      <c r="O9" s="255">
        <f t="shared" si="0"/>
        <v>10000</v>
      </c>
      <c r="P9" s="255">
        <f t="shared" si="0"/>
        <v>10000</v>
      </c>
      <c r="Q9" s="255">
        <f t="shared" si="0"/>
        <v>10000</v>
      </c>
      <c r="R9" s="255">
        <f t="shared" si="0"/>
        <v>10000</v>
      </c>
      <c r="S9" s="255">
        <f t="shared" si="0"/>
        <v>10000</v>
      </c>
      <c r="T9" s="956">
        <v>120000</v>
      </c>
      <c r="U9" s="44">
        <f>$AG9/12</f>
        <v>16666.666666666668</v>
      </c>
      <c r="V9" s="44">
        <f t="shared" ref="V9:AF9" si="3">$AG9/12</f>
        <v>16666.666666666668</v>
      </c>
      <c r="W9" s="44">
        <f t="shared" si="3"/>
        <v>16666.666666666668</v>
      </c>
      <c r="X9" s="44">
        <f t="shared" si="3"/>
        <v>16666.666666666668</v>
      </c>
      <c r="Y9" s="44">
        <f t="shared" si="3"/>
        <v>16666.666666666668</v>
      </c>
      <c r="Z9" s="44">
        <f t="shared" si="3"/>
        <v>16666.666666666668</v>
      </c>
      <c r="AA9" s="44">
        <f t="shared" si="3"/>
        <v>16666.666666666668</v>
      </c>
      <c r="AB9" s="44">
        <f t="shared" si="3"/>
        <v>16666.666666666668</v>
      </c>
      <c r="AC9" s="44">
        <f t="shared" si="3"/>
        <v>16666.666666666668</v>
      </c>
      <c r="AD9" s="44">
        <f t="shared" si="3"/>
        <v>16666.666666666668</v>
      </c>
      <c r="AE9" s="44">
        <f t="shared" si="3"/>
        <v>16666.666666666668</v>
      </c>
      <c r="AF9" s="44">
        <f t="shared" si="3"/>
        <v>16666.666666666668</v>
      </c>
      <c r="AG9" s="927">
        <v>200000</v>
      </c>
      <c r="AH9" s="927">
        <f>AG9</f>
        <v>200000</v>
      </c>
      <c r="AI9" s="927">
        <f t="shared" si="2"/>
        <v>200000</v>
      </c>
      <c r="AJ9" s="927">
        <f t="shared" si="2"/>
        <v>200000</v>
      </c>
      <c r="AK9" s="927">
        <f t="shared" si="2"/>
        <v>200000</v>
      </c>
      <c r="AL9" s="927">
        <f t="shared" si="2"/>
        <v>200000</v>
      </c>
      <c r="AM9" s="927">
        <f t="shared" si="2"/>
        <v>200000</v>
      </c>
      <c r="AN9" s="927">
        <f t="shared" si="2"/>
        <v>200000</v>
      </c>
      <c r="AO9" s="927">
        <f t="shared" si="2"/>
        <v>200000</v>
      </c>
    </row>
    <row r="10" spans="1:41" x14ac:dyDescent="0.2">
      <c r="A10" s="769" t="s">
        <v>332</v>
      </c>
      <c r="B10" s="772"/>
      <c r="C10" s="773">
        <f t="shared" ref="C10:M10" si="4">C8*C9</f>
        <v>0</v>
      </c>
      <c r="D10" s="773">
        <f t="shared" si="4"/>
        <v>0</v>
      </c>
      <c r="E10" s="773">
        <f t="shared" si="4"/>
        <v>0</v>
      </c>
      <c r="F10" s="773">
        <f t="shared" si="4"/>
        <v>0</v>
      </c>
      <c r="G10" s="928">
        <f t="shared" si="4"/>
        <v>0</v>
      </c>
      <c r="H10" s="773">
        <f t="shared" si="4"/>
        <v>10000</v>
      </c>
      <c r="I10" s="773">
        <f t="shared" si="4"/>
        <v>10000</v>
      </c>
      <c r="J10" s="773">
        <f t="shared" si="4"/>
        <v>10000</v>
      </c>
      <c r="K10" s="773">
        <f t="shared" si="4"/>
        <v>10000</v>
      </c>
      <c r="L10" s="773">
        <f t="shared" si="4"/>
        <v>10000</v>
      </c>
      <c r="M10" s="773">
        <f t="shared" si="4"/>
        <v>10000</v>
      </c>
      <c r="N10" s="773">
        <f>N8*N9</f>
        <v>10000</v>
      </c>
      <c r="O10" s="773">
        <f t="shared" ref="O10:S10" si="5">O8*O9</f>
        <v>10000</v>
      </c>
      <c r="P10" s="773">
        <f t="shared" si="5"/>
        <v>10000</v>
      </c>
      <c r="Q10" s="773">
        <f t="shared" si="5"/>
        <v>10000</v>
      </c>
      <c r="R10" s="773">
        <f t="shared" si="5"/>
        <v>10000</v>
      </c>
      <c r="S10" s="773">
        <f t="shared" si="5"/>
        <v>10000</v>
      </c>
      <c r="T10" s="949">
        <f>SUM(H10:S10)</f>
        <v>120000</v>
      </c>
      <c r="U10" s="773">
        <f t="shared" ref="U10:AF10" si="6">U8*U9</f>
        <v>16666.666666666668</v>
      </c>
      <c r="V10" s="773">
        <f t="shared" si="6"/>
        <v>16666.666666666668</v>
      </c>
      <c r="W10" s="773">
        <f t="shared" si="6"/>
        <v>16666.666666666668</v>
      </c>
      <c r="X10" s="773">
        <f t="shared" si="6"/>
        <v>16666.666666666668</v>
      </c>
      <c r="Y10" s="773">
        <f t="shared" si="6"/>
        <v>16666.666666666668</v>
      </c>
      <c r="Z10" s="773">
        <f t="shared" si="6"/>
        <v>16666.666666666668</v>
      </c>
      <c r="AA10" s="773">
        <f t="shared" si="6"/>
        <v>16666.666666666668</v>
      </c>
      <c r="AB10" s="773">
        <f t="shared" si="6"/>
        <v>16666.666666666668</v>
      </c>
      <c r="AC10" s="773">
        <f t="shared" si="6"/>
        <v>16666.666666666668</v>
      </c>
      <c r="AD10" s="773">
        <f t="shared" si="6"/>
        <v>16666.666666666668</v>
      </c>
      <c r="AE10" s="773">
        <f t="shared" si="6"/>
        <v>16666.666666666668</v>
      </c>
      <c r="AF10" s="773">
        <f t="shared" si="6"/>
        <v>16666.666666666668</v>
      </c>
      <c r="AG10" s="949">
        <f>SUM(U10:AF10)</f>
        <v>199999.99999999997</v>
      </c>
      <c r="AH10" s="928">
        <f t="shared" ref="AH10:AO10" si="7">AH8*AH9</f>
        <v>200000</v>
      </c>
      <c r="AI10" s="928">
        <f t="shared" si="7"/>
        <v>200000</v>
      </c>
      <c r="AJ10" s="928">
        <f t="shared" si="7"/>
        <v>200000</v>
      </c>
      <c r="AK10" s="928">
        <f t="shared" si="7"/>
        <v>200000</v>
      </c>
      <c r="AL10" s="928">
        <f t="shared" si="7"/>
        <v>200000</v>
      </c>
      <c r="AM10" s="928">
        <f t="shared" si="7"/>
        <v>200000</v>
      </c>
      <c r="AN10" s="928">
        <f t="shared" si="7"/>
        <v>200000</v>
      </c>
      <c r="AO10" s="928">
        <f t="shared" si="7"/>
        <v>200000</v>
      </c>
    </row>
    <row r="11" spans="1:41" x14ac:dyDescent="0.2">
      <c r="A11" s="36"/>
      <c r="B11" s="15"/>
      <c r="C11" s="15"/>
      <c r="D11" s="15"/>
      <c r="E11" s="15"/>
      <c r="F11" s="15"/>
      <c r="G11" s="87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7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x14ac:dyDescent="0.2">
      <c r="A12" s="36" t="s">
        <v>329</v>
      </c>
      <c r="B12" s="15"/>
      <c r="C12" s="15"/>
      <c r="D12" s="15"/>
      <c r="E12" s="15"/>
      <c r="F12" s="15"/>
      <c r="G12" s="87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7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1" x14ac:dyDescent="0.2">
      <c r="A13" s="36" t="s">
        <v>330</v>
      </c>
      <c r="B13" s="15"/>
      <c r="C13" s="770">
        <v>0</v>
      </c>
      <c r="D13" s="770">
        <v>0</v>
      </c>
      <c r="E13" s="770">
        <v>0</v>
      </c>
      <c r="F13" s="770">
        <v>0</v>
      </c>
      <c r="G13" s="929">
        <v>0</v>
      </c>
      <c r="H13" s="770">
        <v>0</v>
      </c>
      <c r="I13" s="770">
        <f>H13</f>
        <v>0</v>
      </c>
      <c r="J13" s="770">
        <f t="shared" ref="J13:S13" si="8">I13</f>
        <v>0</v>
      </c>
      <c r="K13" s="770">
        <f t="shared" si="8"/>
        <v>0</v>
      </c>
      <c r="L13" s="770">
        <f>K13</f>
        <v>0</v>
      </c>
      <c r="M13" s="770">
        <f t="shared" si="8"/>
        <v>0</v>
      </c>
      <c r="N13" s="770">
        <f>M13</f>
        <v>0</v>
      </c>
      <c r="O13" s="770">
        <f t="shared" si="8"/>
        <v>0</v>
      </c>
      <c r="P13" s="770">
        <f t="shared" si="8"/>
        <v>0</v>
      </c>
      <c r="Q13" s="770">
        <f t="shared" si="8"/>
        <v>0</v>
      </c>
      <c r="R13" s="770">
        <f t="shared" si="8"/>
        <v>0</v>
      </c>
      <c r="S13" s="770">
        <f t="shared" si="8"/>
        <v>0</v>
      </c>
      <c r="T13" s="875">
        <f>S13</f>
        <v>0</v>
      </c>
      <c r="U13" s="770">
        <v>1</v>
      </c>
      <c r="V13" s="770">
        <f t="shared" ref="V13:AJ13" si="9">U13</f>
        <v>1</v>
      </c>
      <c r="W13" s="770">
        <f t="shared" ref="W13" si="10">V13</f>
        <v>1</v>
      </c>
      <c r="X13" s="770">
        <f t="shared" ref="X13" si="11">W13</f>
        <v>1</v>
      </c>
      <c r="Y13" s="770">
        <f t="shared" ref="Y13" si="12">X13</f>
        <v>1</v>
      </c>
      <c r="Z13" s="770">
        <f t="shared" ref="Z13" si="13">Y13</f>
        <v>1</v>
      </c>
      <c r="AA13" s="770">
        <f t="shared" ref="AA13" si="14">Z13</f>
        <v>1</v>
      </c>
      <c r="AB13" s="770">
        <f t="shared" ref="AB13" si="15">AA13</f>
        <v>1</v>
      </c>
      <c r="AC13" s="770">
        <f t="shared" ref="AC13" si="16">AB13</f>
        <v>1</v>
      </c>
      <c r="AD13" s="770">
        <f t="shared" ref="AD13" si="17">AC13</f>
        <v>1</v>
      </c>
      <c r="AE13" s="770">
        <f t="shared" ref="AE13" si="18">AD13</f>
        <v>1</v>
      </c>
      <c r="AF13" s="770">
        <f t="shared" ref="AF13" si="19">AE13</f>
        <v>1</v>
      </c>
      <c r="AG13" s="875">
        <f t="shared" si="9"/>
        <v>1</v>
      </c>
      <c r="AH13" s="875">
        <f t="shared" si="9"/>
        <v>1</v>
      </c>
      <c r="AI13" s="875">
        <f t="shared" si="9"/>
        <v>1</v>
      </c>
      <c r="AJ13" s="875">
        <f t="shared" si="9"/>
        <v>1</v>
      </c>
      <c r="AK13" s="875">
        <f t="shared" ref="AI13:AO14" si="20">AJ13</f>
        <v>1</v>
      </c>
      <c r="AL13" s="875">
        <f t="shared" si="20"/>
        <v>1</v>
      </c>
      <c r="AM13" s="875">
        <f t="shared" si="20"/>
        <v>1</v>
      </c>
      <c r="AN13" s="875">
        <f t="shared" si="20"/>
        <v>1</v>
      </c>
      <c r="AO13" s="875">
        <f t="shared" si="20"/>
        <v>1</v>
      </c>
    </row>
    <row r="14" spans="1:41" x14ac:dyDescent="0.2">
      <c r="A14" s="36" t="s">
        <v>331</v>
      </c>
      <c r="B14" s="15"/>
      <c r="C14" s="44">
        <f t="shared" ref="C14:S14" si="21">$T14/12</f>
        <v>25000</v>
      </c>
      <c r="D14" s="44">
        <f t="shared" si="21"/>
        <v>25000</v>
      </c>
      <c r="E14" s="44">
        <f t="shared" si="21"/>
        <v>25000</v>
      </c>
      <c r="F14" s="44">
        <f t="shared" si="21"/>
        <v>25000</v>
      </c>
      <c r="G14" s="45">
        <f t="shared" si="21"/>
        <v>25000</v>
      </c>
      <c r="H14" s="44">
        <f t="shared" si="21"/>
        <v>25000</v>
      </c>
      <c r="I14" s="44">
        <f t="shared" si="21"/>
        <v>25000</v>
      </c>
      <c r="J14" s="44">
        <f t="shared" si="21"/>
        <v>25000</v>
      </c>
      <c r="K14" s="44">
        <f t="shared" si="21"/>
        <v>25000</v>
      </c>
      <c r="L14" s="44">
        <f t="shared" si="21"/>
        <v>25000</v>
      </c>
      <c r="M14" s="44">
        <f t="shared" si="21"/>
        <v>25000</v>
      </c>
      <c r="N14" s="44">
        <f t="shared" si="21"/>
        <v>25000</v>
      </c>
      <c r="O14" s="44">
        <f t="shared" si="21"/>
        <v>25000</v>
      </c>
      <c r="P14" s="44">
        <f t="shared" si="21"/>
        <v>25000</v>
      </c>
      <c r="Q14" s="44">
        <f t="shared" si="21"/>
        <v>25000</v>
      </c>
      <c r="R14" s="44">
        <f t="shared" si="21"/>
        <v>25000</v>
      </c>
      <c r="S14" s="44">
        <f t="shared" si="21"/>
        <v>25000</v>
      </c>
      <c r="T14" s="956">
        <v>300000</v>
      </c>
      <c r="U14" s="44">
        <f>$AG14/12</f>
        <v>25000</v>
      </c>
      <c r="V14" s="44">
        <f t="shared" ref="V14:AF14" si="22">$AG14/12</f>
        <v>25000</v>
      </c>
      <c r="W14" s="44">
        <f t="shared" si="22"/>
        <v>25000</v>
      </c>
      <c r="X14" s="44">
        <f t="shared" si="22"/>
        <v>25000</v>
      </c>
      <c r="Y14" s="44">
        <f t="shared" si="22"/>
        <v>25000</v>
      </c>
      <c r="Z14" s="44">
        <f t="shared" si="22"/>
        <v>25000</v>
      </c>
      <c r="AA14" s="44">
        <f t="shared" si="22"/>
        <v>25000</v>
      </c>
      <c r="AB14" s="44">
        <f t="shared" si="22"/>
        <v>25000</v>
      </c>
      <c r="AC14" s="44">
        <f t="shared" si="22"/>
        <v>25000</v>
      </c>
      <c r="AD14" s="44">
        <f t="shared" si="22"/>
        <v>25000</v>
      </c>
      <c r="AE14" s="44">
        <f t="shared" si="22"/>
        <v>25000</v>
      </c>
      <c r="AF14" s="44">
        <f t="shared" si="22"/>
        <v>25000</v>
      </c>
      <c r="AG14" s="927">
        <f>T14</f>
        <v>300000</v>
      </c>
      <c r="AH14" s="927">
        <f>AG14</f>
        <v>300000</v>
      </c>
      <c r="AI14" s="927">
        <f t="shared" si="20"/>
        <v>300000</v>
      </c>
      <c r="AJ14" s="927">
        <f t="shared" si="20"/>
        <v>300000</v>
      </c>
      <c r="AK14" s="927">
        <f t="shared" si="20"/>
        <v>300000</v>
      </c>
      <c r="AL14" s="927">
        <f t="shared" si="20"/>
        <v>300000</v>
      </c>
      <c r="AM14" s="927">
        <f t="shared" si="20"/>
        <v>300000</v>
      </c>
      <c r="AN14" s="927">
        <f t="shared" si="20"/>
        <v>300000</v>
      </c>
      <c r="AO14" s="927">
        <f t="shared" si="20"/>
        <v>300000</v>
      </c>
    </row>
    <row r="15" spans="1:41" x14ac:dyDescent="0.2">
      <c r="A15" s="769" t="s">
        <v>333</v>
      </c>
      <c r="B15" s="772"/>
      <c r="C15" s="773">
        <f t="shared" ref="C15:S15" si="23">C13*C14</f>
        <v>0</v>
      </c>
      <c r="D15" s="773">
        <f t="shared" si="23"/>
        <v>0</v>
      </c>
      <c r="E15" s="773">
        <f t="shared" si="23"/>
        <v>0</v>
      </c>
      <c r="F15" s="773">
        <f t="shared" si="23"/>
        <v>0</v>
      </c>
      <c r="G15" s="928">
        <f t="shared" si="23"/>
        <v>0</v>
      </c>
      <c r="H15" s="773">
        <f t="shared" si="23"/>
        <v>0</v>
      </c>
      <c r="I15" s="773">
        <f t="shared" si="23"/>
        <v>0</v>
      </c>
      <c r="J15" s="773">
        <f t="shared" si="23"/>
        <v>0</v>
      </c>
      <c r="K15" s="773">
        <f t="shared" si="23"/>
        <v>0</v>
      </c>
      <c r="L15" s="773">
        <f t="shared" si="23"/>
        <v>0</v>
      </c>
      <c r="M15" s="773">
        <f t="shared" si="23"/>
        <v>0</v>
      </c>
      <c r="N15" s="773">
        <f t="shared" si="23"/>
        <v>0</v>
      </c>
      <c r="O15" s="773">
        <f t="shared" si="23"/>
        <v>0</v>
      </c>
      <c r="P15" s="773">
        <f t="shared" si="23"/>
        <v>0</v>
      </c>
      <c r="Q15" s="773">
        <f t="shared" si="23"/>
        <v>0</v>
      </c>
      <c r="R15" s="773">
        <f t="shared" si="23"/>
        <v>0</v>
      </c>
      <c r="S15" s="773">
        <f t="shared" si="23"/>
        <v>0</v>
      </c>
      <c r="T15" s="949">
        <f>SUM(H15:S15)</f>
        <v>0</v>
      </c>
      <c r="U15" s="773">
        <f t="shared" ref="U15:AF15" si="24">U13*U14</f>
        <v>25000</v>
      </c>
      <c r="V15" s="773">
        <f t="shared" si="24"/>
        <v>25000</v>
      </c>
      <c r="W15" s="773">
        <f t="shared" si="24"/>
        <v>25000</v>
      </c>
      <c r="X15" s="773">
        <f t="shared" si="24"/>
        <v>25000</v>
      </c>
      <c r="Y15" s="773">
        <f t="shared" si="24"/>
        <v>25000</v>
      </c>
      <c r="Z15" s="773">
        <f t="shared" si="24"/>
        <v>25000</v>
      </c>
      <c r="AA15" s="773">
        <f t="shared" si="24"/>
        <v>25000</v>
      </c>
      <c r="AB15" s="773">
        <f t="shared" si="24"/>
        <v>25000</v>
      </c>
      <c r="AC15" s="773">
        <f t="shared" si="24"/>
        <v>25000</v>
      </c>
      <c r="AD15" s="773">
        <f t="shared" si="24"/>
        <v>25000</v>
      </c>
      <c r="AE15" s="773">
        <f t="shared" si="24"/>
        <v>25000</v>
      </c>
      <c r="AF15" s="773">
        <f t="shared" si="24"/>
        <v>25000</v>
      </c>
      <c r="AG15" s="949">
        <f>SUM(U15:AF15)</f>
        <v>300000</v>
      </c>
      <c r="AH15" s="928">
        <f t="shared" ref="AH15:AO15" si="25">AH13*AH14</f>
        <v>300000</v>
      </c>
      <c r="AI15" s="928">
        <f t="shared" si="25"/>
        <v>300000</v>
      </c>
      <c r="AJ15" s="928">
        <f t="shared" si="25"/>
        <v>300000</v>
      </c>
      <c r="AK15" s="928">
        <f t="shared" si="25"/>
        <v>300000</v>
      </c>
      <c r="AL15" s="928">
        <f t="shared" si="25"/>
        <v>300000</v>
      </c>
      <c r="AM15" s="928">
        <f t="shared" si="25"/>
        <v>300000</v>
      </c>
      <c r="AN15" s="928">
        <f t="shared" si="25"/>
        <v>300000</v>
      </c>
      <c r="AO15" s="928">
        <f t="shared" si="25"/>
        <v>300000</v>
      </c>
    </row>
    <row r="16" spans="1:41" x14ac:dyDescent="0.2">
      <c r="A16" s="36"/>
      <c r="B16" s="15"/>
      <c r="C16" s="15"/>
      <c r="D16" s="15"/>
      <c r="E16" s="15"/>
      <c r="F16" s="15"/>
      <c r="G16" s="87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x14ac:dyDescent="0.2">
      <c r="A17" s="705" t="s">
        <v>214</v>
      </c>
      <c r="B17" s="15"/>
      <c r="C17" s="15"/>
      <c r="D17" s="15"/>
      <c r="E17" s="15"/>
      <c r="F17" s="15"/>
      <c r="G17" s="87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7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x14ac:dyDescent="0.2">
      <c r="A18" s="36" t="s">
        <v>330</v>
      </c>
      <c r="B18" s="15"/>
      <c r="C18" s="770">
        <v>0</v>
      </c>
      <c r="D18" s="770">
        <v>0</v>
      </c>
      <c r="E18" s="770">
        <v>0</v>
      </c>
      <c r="F18" s="770">
        <v>0</v>
      </c>
      <c r="G18" s="875">
        <f>F18</f>
        <v>0</v>
      </c>
      <c r="H18" s="770">
        <v>0</v>
      </c>
      <c r="I18" s="770">
        <f>H18</f>
        <v>0</v>
      </c>
      <c r="J18" s="770">
        <f t="shared" ref="J18:S18" si="26">I18</f>
        <v>0</v>
      </c>
      <c r="K18" s="770">
        <f t="shared" si="26"/>
        <v>0</v>
      </c>
      <c r="L18" s="770">
        <f t="shared" si="26"/>
        <v>0</v>
      </c>
      <c r="M18" s="770">
        <f t="shared" si="26"/>
        <v>0</v>
      </c>
      <c r="N18" s="770">
        <v>2</v>
      </c>
      <c r="O18" s="770">
        <f t="shared" si="26"/>
        <v>2</v>
      </c>
      <c r="P18" s="770">
        <f t="shared" si="26"/>
        <v>2</v>
      </c>
      <c r="Q18" s="770">
        <f t="shared" si="26"/>
        <v>2</v>
      </c>
      <c r="R18" s="770">
        <f t="shared" si="26"/>
        <v>2</v>
      </c>
      <c r="S18" s="770">
        <f t="shared" si="26"/>
        <v>2</v>
      </c>
      <c r="T18" s="875">
        <f>S18</f>
        <v>2</v>
      </c>
      <c r="U18" s="770">
        <v>3</v>
      </c>
      <c r="V18" s="770">
        <f t="shared" ref="V18:AG18" si="27">U18</f>
        <v>3</v>
      </c>
      <c r="W18" s="770">
        <f t="shared" si="27"/>
        <v>3</v>
      </c>
      <c r="X18" s="770">
        <f t="shared" si="27"/>
        <v>3</v>
      </c>
      <c r="Y18" s="770">
        <f t="shared" si="27"/>
        <v>3</v>
      </c>
      <c r="Z18" s="770">
        <f t="shared" si="27"/>
        <v>3</v>
      </c>
      <c r="AA18" s="770">
        <f t="shared" si="27"/>
        <v>3</v>
      </c>
      <c r="AB18" s="770">
        <f t="shared" si="27"/>
        <v>3</v>
      </c>
      <c r="AC18" s="770">
        <f t="shared" si="27"/>
        <v>3</v>
      </c>
      <c r="AD18" s="770">
        <f t="shared" si="27"/>
        <v>3</v>
      </c>
      <c r="AE18" s="770">
        <f t="shared" si="27"/>
        <v>3</v>
      </c>
      <c r="AF18" s="770">
        <f t="shared" si="27"/>
        <v>3</v>
      </c>
      <c r="AG18" s="875">
        <f t="shared" si="27"/>
        <v>3</v>
      </c>
      <c r="AH18" s="929">
        <f>AG18+2</f>
        <v>5</v>
      </c>
      <c r="AI18" s="929">
        <f t="shared" ref="AI18:AO18" si="28">AH18+2</f>
        <v>7</v>
      </c>
      <c r="AJ18" s="929">
        <f t="shared" si="28"/>
        <v>9</v>
      </c>
      <c r="AK18" s="929">
        <f t="shared" si="28"/>
        <v>11</v>
      </c>
      <c r="AL18" s="929">
        <f t="shared" si="28"/>
        <v>13</v>
      </c>
      <c r="AM18" s="929">
        <f t="shared" si="28"/>
        <v>15</v>
      </c>
      <c r="AN18" s="929">
        <f t="shared" si="28"/>
        <v>17</v>
      </c>
      <c r="AO18" s="929">
        <f t="shared" si="28"/>
        <v>19</v>
      </c>
    </row>
    <row r="19" spans="1:41" x14ac:dyDescent="0.2">
      <c r="A19" s="36" t="s">
        <v>331</v>
      </c>
      <c r="B19" s="15"/>
      <c r="C19" s="44">
        <f t="shared" ref="C19:S19" si="29">$T19/12</f>
        <v>8333.3333333333339</v>
      </c>
      <c r="D19" s="44">
        <f t="shared" si="29"/>
        <v>8333.3333333333339</v>
      </c>
      <c r="E19" s="44">
        <f t="shared" si="29"/>
        <v>8333.3333333333339</v>
      </c>
      <c r="F19" s="44">
        <f t="shared" si="29"/>
        <v>8333.3333333333339</v>
      </c>
      <c r="G19" s="45">
        <f t="shared" si="29"/>
        <v>8333.3333333333339</v>
      </c>
      <c r="H19" s="44">
        <f t="shared" si="29"/>
        <v>8333.3333333333339</v>
      </c>
      <c r="I19" s="44">
        <f t="shared" si="29"/>
        <v>8333.3333333333339</v>
      </c>
      <c r="J19" s="44">
        <f t="shared" si="29"/>
        <v>8333.3333333333339</v>
      </c>
      <c r="K19" s="44">
        <f t="shared" si="29"/>
        <v>8333.3333333333339</v>
      </c>
      <c r="L19" s="44">
        <f t="shared" si="29"/>
        <v>8333.3333333333339</v>
      </c>
      <c r="M19" s="44">
        <f t="shared" si="29"/>
        <v>8333.3333333333339</v>
      </c>
      <c r="N19" s="44">
        <f t="shared" si="29"/>
        <v>8333.3333333333339</v>
      </c>
      <c r="O19" s="44">
        <f t="shared" si="29"/>
        <v>8333.3333333333339</v>
      </c>
      <c r="P19" s="44">
        <f t="shared" si="29"/>
        <v>8333.3333333333339</v>
      </c>
      <c r="Q19" s="44">
        <f t="shared" si="29"/>
        <v>8333.3333333333339</v>
      </c>
      <c r="R19" s="44">
        <f t="shared" si="29"/>
        <v>8333.3333333333339</v>
      </c>
      <c r="S19" s="44">
        <f t="shared" si="29"/>
        <v>8333.3333333333339</v>
      </c>
      <c r="T19" s="956">
        <v>100000</v>
      </c>
      <c r="U19" s="44">
        <f t="shared" ref="U19:AF19" si="30">$AG19/12</f>
        <v>8333.3333333333339</v>
      </c>
      <c r="V19" s="44">
        <f t="shared" si="30"/>
        <v>8333.3333333333339</v>
      </c>
      <c r="W19" s="44">
        <f t="shared" si="30"/>
        <v>8333.3333333333339</v>
      </c>
      <c r="X19" s="44">
        <f t="shared" si="30"/>
        <v>8333.3333333333339</v>
      </c>
      <c r="Y19" s="44">
        <f t="shared" si="30"/>
        <v>8333.3333333333339</v>
      </c>
      <c r="Z19" s="44">
        <f t="shared" si="30"/>
        <v>8333.3333333333339</v>
      </c>
      <c r="AA19" s="44">
        <f t="shared" si="30"/>
        <v>8333.3333333333339</v>
      </c>
      <c r="AB19" s="44">
        <f t="shared" si="30"/>
        <v>8333.3333333333339</v>
      </c>
      <c r="AC19" s="44">
        <f t="shared" si="30"/>
        <v>8333.3333333333339</v>
      </c>
      <c r="AD19" s="44">
        <f t="shared" si="30"/>
        <v>8333.3333333333339</v>
      </c>
      <c r="AE19" s="44">
        <f t="shared" si="30"/>
        <v>8333.3333333333339</v>
      </c>
      <c r="AF19" s="44">
        <f t="shared" si="30"/>
        <v>8333.3333333333339</v>
      </c>
      <c r="AG19" s="927">
        <f>T19</f>
        <v>100000</v>
      </c>
      <c r="AH19" s="927">
        <f>AG19</f>
        <v>100000</v>
      </c>
      <c r="AI19" s="927">
        <f t="shared" ref="AI19:AO19" si="31">AH19</f>
        <v>100000</v>
      </c>
      <c r="AJ19" s="927">
        <f t="shared" si="31"/>
        <v>100000</v>
      </c>
      <c r="AK19" s="927">
        <f t="shared" si="31"/>
        <v>100000</v>
      </c>
      <c r="AL19" s="927">
        <f t="shared" si="31"/>
        <v>100000</v>
      </c>
      <c r="AM19" s="927">
        <f t="shared" si="31"/>
        <v>100000</v>
      </c>
      <c r="AN19" s="927">
        <f t="shared" si="31"/>
        <v>100000</v>
      </c>
      <c r="AO19" s="927">
        <f t="shared" si="31"/>
        <v>100000</v>
      </c>
    </row>
    <row r="20" spans="1:41" x14ac:dyDescent="0.2">
      <c r="A20" s="769" t="s">
        <v>334</v>
      </c>
      <c r="B20" s="772"/>
      <c r="C20" s="773">
        <f t="shared" ref="C20:S20" si="32">C18*C19</f>
        <v>0</v>
      </c>
      <c r="D20" s="773">
        <f t="shared" si="32"/>
        <v>0</v>
      </c>
      <c r="E20" s="773">
        <f t="shared" si="32"/>
        <v>0</v>
      </c>
      <c r="F20" s="773">
        <f t="shared" si="32"/>
        <v>0</v>
      </c>
      <c r="G20" s="928">
        <f>SUM(C20:F20)</f>
        <v>0</v>
      </c>
      <c r="H20" s="773">
        <f t="shared" si="32"/>
        <v>0</v>
      </c>
      <c r="I20" s="773">
        <f t="shared" si="32"/>
        <v>0</v>
      </c>
      <c r="J20" s="773">
        <f t="shared" si="32"/>
        <v>0</v>
      </c>
      <c r="K20" s="773">
        <f t="shared" si="32"/>
        <v>0</v>
      </c>
      <c r="L20" s="773">
        <f t="shared" si="32"/>
        <v>0</v>
      </c>
      <c r="M20" s="773">
        <f t="shared" si="32"/>
        <v>0</v>
      </c>
      <c r="N20" s="773">
        <f t="shared" si="32"/>
        <v>16666.666666666668</v>
      </c>
      <c r="O20" s="773">
        <f t="shared" si="32"/>
        <v>16666.666666666668</v>
      </c>
      <c r="P20" s="773">
        <f t="shared" si="32"/>
        <v>16666.666666666668</v>
      </c>
      <c r="Q20" s="773">
        <f t="shared" si="32"/>
        <v>16666.666666666668</v>
      </c>
      <c r="R20" s="773">
        <f t="shared" si="32"/>
        <v>16666.666666666668</v>
      </c>
      <c r="S20" s="773">
        <f t="shared" si="32"/>
        <v>16666.666666666668</v>
      </c>
      <c r="T20" s="949">
        <f>SUM(H20:S20)</f>
        <v>100000.00000000001</v>
      </c>
      <c r="U20" s="773">
        <f t="shared" ref="U20:AF20" si="33">U18*U19</f>
        <v>25000</v>
      </c>
      <c r="V20" s="773">
        <f t="shared" si="33"/>
        <v>25000</v>
      </c>
      <c r="W20" s="773">
        <f t="shared" si="33"/>
        <v>25000</v>
      </c>
      <c r="X20" s="773">
        <f t="shared" si="33"/>
        <v>25000</v>
      </c>
      <c r="Y20" s="773">
        <f t="shared" si="33"/>
        <v>25000</v>
      </c>
      <c r="Z20" s="773">
        <f t="shared" si="33"/>
        <v>25000</v>
      </c>
      <c r="AA20" s="773">
        <f t="shared" si="33"/>
        <v>25000</v>
      </c>
      <c r="AB20" s="773">
        <f t="shared" si="33"/>
        <v>25000</v>
      </c>
      <c r="AC20" s="773">
        <f t="shared" si="33"/>
        <v>25000</v>
      </c>
      <c r="AD20" s="773">
        <f t="shared" si="33"/>
        <v>25000</v>
      </c>
      <c r="AE20" s="773">
        <f t="shared" si="33"/>
        <v>25000</v>
      </c>
      <c r="AF20" s="773">
        <f t="shared" si="33"/>
        <v>25000</v>
      </c>
      <c r="AG20" s="949">
        <f>SUM(U20:AF20)</f>
        <v>300000</v>
      </c>
      <c r="AH20" s="928">
        <f t="shared" ref="AH20:AO20" si="34">AH18*AH19</f>
        <v>500000</v>
      </c>
      <c r="AI20" s="928">
        <f t="shared" si="34"/>
        <v>700000</v>
      </c>
      <c r="AJ20" s="928">
        <f t="shared" si="34"/>
        <v>900000</v>
      </c>
      <c r="AK20" s="928">
        <f t="shared" si="34"/>
        <v>1100000</v>
      </c>
      <c r="AL20" s="928">
        <f t="shared" si="34"/>
        <v>1300000</v>
      </c>
      <c r="AM20" s="928">
        <f t="shared" si="34"/>
        <v>1500000</v>
      </c>
      <c r="AN20" s="928">
        <f t="shared" si="34"/>
        <v>1700000</v>
      </c>
      <c r="AO20" s="928">
        <f t="shared" si="34"/>
        <v>1900000</v>
      </c>
    </row>
    <row r="21" spans="1:41" x14ac:dyDescent="0.2">
      <c r="A21" s="36"/>
      <c r="B21" s="15"/>
      <c r="C21" s="15"/>
      <c r="D21" s="15"/>
      <c r="E21" s="15"/>
      <c r="F21" s="15"/>
      <c r="G21" s="87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7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x14ac:dyDescent="0.2">
      <c r="A22" s="705" t="s">
        <v>85</v>
      </c>
      <c r="B22" s="15"/>
      <c r="C22" s="15"/>
      <c r="D22" s="15"/>
      <c r="E22" s="15"/>
      <c r="F22" s="15"/>
      <c r="G22" s="87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7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1:41" x14ac:dyDescent="0.2">
      <c r="A23" s="36" t="s">
        <v>330</v>
      </c>
      <c r="B23" s="15"/>
      <c r="C23" s="770">
        <v>0</v>
      </c>
      <c r="D23" s="770">
        <v>0</v>
      </c>
      <c r="E23" s="770">
        <v>0</v>
      </c>
      <c r="F23" s="770">
        <v>0</v>
      </c>
      <c r="G23" s="929">
        <v>0</v>
      </c>
      <c r="H23" s="770">
        <v>1</v>
      </c>
      <c r="I23" s="770">
        <f>H23</f>
        <v>1</v>
      </c>
      <c r="J23" s="770">
        <f t="shared" ref="J23:S23" si="35">I23</f>
        <v>1</v>
      </c>
      <c r="K23" s="770">
        <f t="shared" si="35"/>
        <v>1</v>
      </c>
      <c r="L23" s="770">
        <f t="shared" si="35"/>
        <v>1</v>
      </c>
      <c r="M23" s="770">
        <f t="shared" si="35"/>
        <v>1</v>
      </c>
      <c r="N23" s="770">
        <v>2</v>
      </c>
      <c r="O23" s="770">
        <f t="shared" si="35"/>
        <v>2</v>
      </c>
      <c r="P23" s="770">
        <f t="shared" si="35"/>
        <v>2</v>
      </c>
      <c r="Q23" s="770">
        <f t="shared" si="35"/>
        <v>2</v>
      </c>
      <c r="R23" s="770">
        <f t="shared" si="35"/>
        <v>2</v>
      </c>
      <c r="S23" s="770">
        <f t="shared" si="35"/>
        <v>2</v>
      </c>
      <c r="T23" s="875">
        <f>S23</f>
        <v>2</v>
      </c>
      <c r="U23" s="770">
        <v>2</v>
      </c>
      <c r="V23" s="770">
        <f t="shared" ref="V23:AG23" si="36">U23</f>
        <v>2</v>
      </c>
      <c r="W23" s="770">
        <f t="shared" si="36"/>
        <v>2</v>
      </c>
      <c r="X23" s="770">
        <f t="shared" si="36"/>
        <v>2</v>
      </c>
      <c r="Y23" s="770">
        <f t="shared" si="36"/>
        <v>2</v>
      </c>
      <c r="Z23" s="770">
        <f t="shared" si="36"/>
        <v>2</v>
      </c>
      <c r="AA23" s="770">
        <v>3</v>
      </c>
      <c r="AB23" s="770">
        <f t="shared" si="36"/>
        <v>3</v>
      </c>
      <c r="AC23" s="770">
        <f t="shared" si="36"/>
        <v>3</v>
      </c>
      <c r="AD23" s="770">
        <f t="shared" si="36"/>
        <v>3</v>
      </c>
      <c r="AE23" s="770">
        <f t="shared" si="36"/>
        <v>3</v>
      </c>
      <c r="AF23" s="770">
        <f t="shared" si="36"/>
        <v>3</v>
      </c>
      <c r="AG23" s="875">
        <f t="shared" si="36"/>
        <v>3</v>
      </c>
      <c r="AH23" s="929">
        <f>AG23+2</f>
        <v>5</v>
      </c>
      <c r="AI23" s="929">
        <f t="shared" ref="AI23:AO23" si="37">AH23+2</f>
        <v>7</v>
      </c>
      <c r="AJ23" s="929">
        <f t="shared" si="37"/>
        <v>9</v>
      </c>
      <c r="AK23" s="929">
        <f t="shared" si="37"/>
        <v>11</v>
      </c>
      <c r="AL23" s="929">
        <f t="shared" si="37"/>
        <v>13</v>
      </c>
      <c r="AM23" s="929">
        <f t="shared" si="37"/>
        <v>15</v>
      </c>
      <c r="AN23" s="929">
        <f t="shared" si="37"/>
        <v>17</v>
      </c>
      <c r="AO23" s="929">
        <f t="shared" si="37"/>
        <v>19</v>
      </c>
    </row>
    <row r="24" spans="1:41" x14ac:dyDescent="0.2">
      <c r="A24" s="36" t="s">
        <v>331</v>
      </c>
      <c r="B24" s="15"/>
      <c r="C24" s="44">
        <f t="shared" ref="C24:S24" si="38">$T24/12</f>
        <v>4166.666666666667</v>
      </c>
      <c r="D24" s="44">
        <f t="shared" si="38"/>
        <v>4166.666666666667</v>
      </c>
      <c r="E24" s="44">
        <f t="shared" si="38"/>
        <v>4166.666666666667</v>
      </c>
      <c r="F24" s="44">
        <f t="shared" si="38"/>
        <v>4166.666666666667</v>
      </c>
      <c r="G24" s="45">
        <f t="shared" si="38"/>
        <v>4166.666666666667</v>
      </c>
      <c r="H24" s="44">
        <f t="shared" si="38"/>
        <v>4166.666666666667</v>
      </c>
      <c r="I24" s="44">
        <f t="shared" si="38"/>
        <v>4166.666666666667</v>
      </c>
      <c r="J24" s="44">
        <f t="shared" si="38"/>
        <v>4166.666666666667</v>
      </c>
      <c r="K24" s="44">
        <f t="shared" si="38"/>
        <v>4166.666666666667</v>
      </c>
      <c r="L24" s="44">
        <f t="shared" si="38"/>
        <v>4166.666666666667</v>
      </c>
      <c r="M24" s="44">
        <f t="shared" si="38"/>
        <v>4166.666666666667</v>
      </c>
      <c r="N24" s="44">
        <f t="shared" si="38"/>
        <v>4166.666666666667</v>
      </c>
      <c r="O24" s="44">
        <f t="shared" si="38"/>
        <v>4166.666666666667</v>
      </c>
      <c r="P24" s="44">
        <f t="shared" si="38"/>
        <v>4166.666666666667</v>
      </c>
      <c r="Q24" s="44">
        <f t="shared" si="38"/>
        <v>4166.666666666667</v>
      </c>
      <c r="R24" s="44">
        <f t="shared" si="38"/>
        <v>4166.666666666667</v>
      </c>
      <c r="S24" s="44">
        <f t="shared" si="38"/>
        <v>4166.666666666667</v>
      </c>
      <c r="T24" s="956">
        <v>50000</v>
      </c>
      <c r="U24" s="44">
        <f t="shared" ref="U24:AF24" si="39">$AG24/12</f>
        <v>4166.666666666667</v>
      </c>
      <c r="V24" s="44">
        <f t="shared" si="39"/>
        <v>4166.666666666667</v>
      </c>
      <c r="W24" s="44">
        <f t="shared" si="39"/>
        <v>4166.666666666667</v>
      </c>
      <c r="X24" s="44">
        <f t="shared" si="39"/>
        <v>4166.666666666667</v>
      </c>
      <c r="Y24" s="44">
        <f t="shared" si="39"/>
        <v>4166.666666666667</v>
      </c>
      <c r="Z24" s="44">
        <f t="shared" si="39"/>
        <v>4166.666666666667</v>
      </c>
      <c r="AA24" s="44">
        <f t="shared" si="39"/>
        <v>4166.666666666667</v>
      </c>
      <c r="AB24" s="44">
        <f t="shared" si="39"/>
        <v>4166.666666666667</v>
      </c>
      <c r="AC24" s="44">
        <f t="shared" si="39"/>
        <v>4166.666666666667</v>
      </c>
      <c r="AD24" s="44">
        <f t="shared" si="39"/>
        <v>4166.666666666667</v>
      </c>
      <c r="AE24" s="44">
        <f t="shared" si="39"/>
        <v>4166.666666666667</v>
      </c>
      <c r="AF24" s="44">
        <f t="shared" si="39"/>
        <v>4166.666666666667</v>
      </c>
      <c r="AG24" s="927">
        <f>T24</f>
        <v>50000</v>
      </c>
      <c r="AH24" s="927">
        <f>AG24</f>
        <v>50000</v>
      </c>
      <c r="AI24" s="927">
        <f t="shared" ref="AI24:AO24" si="40">AH24</f>
        <v>50000</v>
      </c>
      <c r="AJ24" s="927">
        <f t="shared" si="40"/>
        <v>50000</v>
      </c>
      <c r="AK24" s="927">
        <f t="shared" si="40"/>
        <v>50000</v>
      </c>
      <c r="AL24" s="927">
        <f t="shared" si="40"/>
        <v>50000</v>
      </c>
      <c r="AM24" s="927">
        <f t="shared" si="40"/>
        <v>50000</v>
      </c>
      <c r="AN24" s="927">
        <f t="shared" si="40"/>
        <v>50000</v>
      </c>
      <c r="AO24" s="927">
        <f t="shared" si="40"/>
        <v>50000</v>
      </c>
    </row>
    <row r="25" spans="1:41" x14ac:dyDescent="0.2">
      <c r="A25" s="769" t="s">
        <v>335</v>
      </c>
      <c r="B25" s="772"/>
      <c r="C25" s="773">
        <f t="shared" ref="C25:S25" si="41">C23*C24</f>
        <v>0</v>
      </c>
      <c r="D25" s="773">
        <f t="shared" si="41"/>
        <v>0</v>
      </c>
      <c r="E25" s="773">
        <f t="shared" si="41"/>
        <v>0</v>
      </c>
      <c r="F25" s="773">
        <f t="shared" si="41"/>
        <v>0</v>
      </c>
      <c r="G25" s="928">
        <f t="shared" si="41"/>
        <v>0</v>
      </c>
      <c r="H25" s="773">
        <f t="shared" si="41"/>
        <v>4166.666666666667</v>
      </c>
      <c r="I25" s="773">
        <f t="shared" si="41"/>
        <v>4166.666666666667</v>
      </c>
      <c r="J25" s="773">
        <f t="shared" si="41"/>
        <v>4166.666666666667</v>
      </c>
      <c r="K25" s="773">
        <f t="shared" si="41"/>
        <v>4166.666666666667</v>
      </c>
      <c r="L25" s="773">
        <f t="shared" si="41"/>
        <v>4166.666666666667</v>
      </c>
      <c r="M25" s="773">
        <f t="shared" si="41"/>
        <v>4166.666666666667</v>
      </c>
      <c r="N25" s="773">
        <f t="shared" si="41"/>
        <v>8333.3333333333339</v>
      </c>
      <c r="O25" s="773">
        <f t="shared" si="41"/>
        <v>8333.3333333333339</v>
      </c>
      <c r="P25" s="773">
        <f t="shared" si="41"/>
        <v>8333.3333333333339</v>
      </c>
      <c r="Q25" s="773">
        <f t="shared" si="41"/>
        <v>8333.3333333333339</v>
      </c>
      <c r="R25" s="773">
        <f t="shared" si="41"/>
        <v>8333.3333333333339</v>
      </c>
      <c r="S25" s="773">
        <f t="shared" si="41"/>
        <v>8333.3333333333339</v>
      </c>
      <c r="T25" s="949">
        <f>SUM(H25:S25)</f>
        <v>75000</v>
      </c>
      <c r="U25" s="773">
        <f t="shared" ref="U25:AF25" si="42">U23*U24</f>
        <v>8333.3333333333339</v>
      </c>
      <c r="V25" s="773">
        <f t="shared" si="42"/>
        <v>8333.3333333333339</v>
      </c>
      <c r="W25" s="773">
        <f t="shared" si="42"/>
        <v>8333.3333333333339</v>
      </c>
      <c r="X25" s="773">
        <f t="shared" si="42"/>
        <v>8333.3333333333339</v>
      </c>
      <c r="Y25" s="773">
        <f t="shared" si="42"/>
        <v>8333.3333333333339</v>
      </c>
      <c r="Z25" s="773">
        <f t="shared" si="42"/>
        <v>8333.3333333333339</v>
      </c>
      <c r="AA25" s="773">
        <f t="shared" si="42"/>
        <v>12500</v>
      </c>
      <c r="AB25" s="773">
        <f t="shared" si="42"/>
        <v>12500</v>
      </c>
      <c r="AC25" s="773">
        <f t="shared" si="42"/>
        <v>12500</v>
      </c>
      <c r="AD25" s="773">
        <f t="shared" si="42"/>
        <v>12500</v>
      </c>
      <c r="AE25" s="773">
        <f t="shared" si="42"/>
        <v>12500</v>
      </c>
      <c r="AF25" s="773">
        <f t="shared" si="42"/>
        <v>12500</v>
      </c>
      <c r="AG25" s="949">
        <f>SUM(U25:AF25)</f>
        <v>125000</v>
      </c>
      <c r="AH25" s="928">
        <f t="shared" ref="AH25:AO25" si="43">AH23*AH24</f>
        <v>250000</v>
      </c>
      <c r="AI25" s="928">
        <f t="shared" si="43"/>
        <v>350000</v>
      </c>
      <c r="AJ25" s="928">
        <f t="shared" si="43"/>
        <v>450000</v>
      </c>
      <c r="AK25" s="928">
        <f t="shared" si="43"/>
        <v>550000</v>
      </c>
      <c r="AL25" s="928">
        <f t="shared" si="43"/>
        <v>650000</v>
      </c>
      <c r="AM25" s="928">
        <f t="shared" si="43"/>
        <v>750000</v>
      </c>
      <c r="AN25" s="928">
        <f t="shared" si="43"/>
        <v>850000</v>
      </c>
      <c r="AO25" s="928">
        <f t="shared" si="43"/>
        <v>950000</v>
      </c>
    </row>
    <row r="26" spans="1:41" x14ac:dyDescent="0.2">
      <c r="A26" s="36"/>
      <c r="B26" s="15"/>
      <c r="C26" s="15"/>
      <c r="D26" s="15"/>
      <c r="E26" s="15"/>
      <c r="F26" s="15"/>
      <c r="G26" s="87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x14ac:dyDescent="0.2">
      <c r="A27" s="769" t="s">
        <v>336</v>
      </c>
      <c r="B27" s="15"/>
      <c r="C27" s="15"/>
      <c r="D27" s="15"/>
      <c r="E27" s="15"/>
      <c r="F27" s="15"/>
      <c r="G27" s="87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x14ac:dyDescent="0.2">
      <c r="A28" s="36" t="s">
        <v>326</v>
      </c>
      <c r="B28" s="15"/>
      <c r="C28" s="44">
        <f t="shared" ref="C28:AO28" si="44">C10+C15+C20+C25</f>
        <v>0</v>
      </c>
      <c r="D28" s="44">
        <f t="shared" si="44"/>
        <v>0</v>
      </c>
      <c r="E28" s="44">
        <f t="shared" si="44"/>
        <v>0</v>
      </c>
      <c r="F28" s="44">
        <f t="shared" si="44"/>
        <v>0</v>
      </c>
      <c r="G28" s="45">
        <f t="shared" si="44"/>
        <v>0</v>
      </c>
      <c r="H28" s="44">
        <f t="shared" si="44"/>
        <v>14166.666666666668</v>
      </c>
      <c r="I28" s="44">
        <f t="shared" si="44"/>
        <v>14166.666666666668</v>
      </c>
      <c r="J28" s="44">
        <f t="shared" si="44"/>
        <v>14166.666666666668</v>
      </c>
      <c r="K28" s="44">
        <f t="shared" si="44"/>
        <v>14166.666666666668</v>
      </c>
      <c r="L28" s="44">
        <f t="shared" si="44"/>
        <v>14166.666666666668</v>
      </c>
      <c r="M28" s="44">
        <f t="shared" si="44"/>
        <v>14166.666666666668</v>
      </c>
      <c r="N28" s="44">
        <f t="shared" si="44"/>
        <v>35000</v>
      </c>
      <c r="O28" s="44">
        <f t="shared" si="44"/>
        <v>35000</v>
      </c>
      <c r="P28" s="44">
        <f t="shared" si="44"/>
        <v>35000</v>
      </c>
      <c r="Q28" s="44">
        <f t="shared" si="44"/>
        <v>35000</v>
      </c>
      <c r="R28" s="44">
        <f t="shared" si="44"/>
        <v>35000</v>
      </c>
      <c r="S28" s="44">
        <f t="shared" si="44"/>
        <v>35000</v>
      </c>
      <c r="T28" s="45">
        <f t="shared" si="44"/>
        <v>295000</v>
      </c>
      <c r="U28" s="44">
        <f t="shared" si="44"/>
        <v>75000</v>
      </c>
      <c r="V28" s="44">
        <f t="shared" si="44"/>
        <v>75000</v>
      </c>
      <c r="W28" s="44">
        <f t="shared" si="44"/>
        <v>75000</v>
      </c>
      <c r="X28" s="44">
        <f t="shared" si="44"/>
        <v>75000</v>
      </c>
      <c r="Y28" s="44">
        <f t="shared" si="44"/>
        <v>75000</v>
      </c>
      <c r="Z28" s="44">
        <f t="shared" si="44"/>
        <v>75000</v>
      </c>
      <c r="AA28" s="44">
        <f t="shared" si="44"/>
        <v>79166.666666666672</v>
      </c>
      <c r="AB28" s="44">
        <f t="shared" si="44"/>
        <v>79166.666666666672</v>
      </c>
      <c r="AC28" s="44">
        <f t="shared" si="44"/>
        <v>79166.666666666672</v>
      </c>
      <c r="AD28" s="44">
        <f t="shared" si="44"/>
        <v>79166.666666666672</v>
      </c>
      <c r="AE28" s="44">
        <f t="shared" si="44"/>
        <v>79166.666666666672</v>
      </c>
      <c r="AF28" s="44">
        <f t="shared" si="44"/>
        <v>79166.666666666672</v>
      </c>
      <c r="AG28" s="45">
        <f t="shared" si="44"/>
        <v>925000</v>
      </c>
      <c r="AH28" s="45">
        <f t="shared" si="44"/>
        <v>1250000</v>
      </c>
      <c r="AI28" s="45">
        <f t="shared" si="44"/>
        <v>1550000</v>
      </c>
      <c r="AJ28" s="45">
        <f t="shared" si="44"/>
        <v>1850000</v>
      </c>
      <c r="AK28" s="45">
        <f t="shared" si="44"/>
        <v>2150000</v>
      </c>
      <c r="AL28" s="45">
        <f t="shared" si="44"/>
        <v>2450000</v>
      </c>
      <c r="AM28" s="45">
        <f t="shared" si="44"/>
        <v>2750000</v>
      </c>
      <c r="AN28" s="45">
        <f t="shared" si="44"/>
        <v>3050000</v>
      </c>
      <c r="AO28" s="45">
        <f t="shared" si="44"/>
        <v>3350000</v>
      </c>
    </row>
    <row r="29" spans="1:41" x14ac:dyDescent="0.2">
      <c r="A29" s="36" t="s">
        <v>337</v>
      </c>
      <c r="B29" s="15"/>
      <c r="C29" s="632">
        <v>6.2E-2</v>
      </c>
      <c r="D29" s="646">
        <f>C29</f>
        <v>6.2E-2</v>
      </c>
      <c r="E29" s="646">
        <f t="shared" ref="E29:AO31" si="45">D29</f>
        <v>6.2E-2</v>
      </c>
      <c r="F29" s="646">
        <f t="shared" si="45"/>
        <v>6.2E-2</v>
      </c>
      <c r="G29" s="930">
        <f t="shared" si="45"/>
        <v>6.2E-2</v>
      </c>
      <c r="H29" s="646">
        <f t="shared" si="45"/>
        <v>6.2E-2</v>
      </c>
      <c r="I29" s="646">
        <f t="shared" si="45"/>
        <v>6.2E-2</v>
      </c>
      <c r="J29" s="646">
        <f t="shared" si="45"/>
        <v>6.2E-2</v>
      </c>
      <c r="K29" s="646">
        <f t="shared" si="45"/>
        <v>6.2E-2</v>
      </c>
      <c r="L29" s="646">
        <f t="shared" si="45"/>
        <v>6.2E-2</v>
      </c>
      <c r="M29" s="646">
        <f t="shared" si="45"/>
        <v>6.2E-2</v>
      </c>
      <c r="N29" s="646">
        <f t="shared" si="45"/>
        <v>6.2E-2</v>
      </c>
      <c r="O29" s="646">
        <f t="shared" si="45"/>
        <v>6.2E-2</v>
      </c>
      <c r="P29" s="646">
        <f t="shared" si="45"/>
        <v>6.2E-2</v>
      </c>
      <c r="Q29" s="646">
        <f t="shared" si="45"/>
        <v>6.2E-2</v>
      </c>
      <c r="R29" s="646">
        <f t="shared" si="45"/>
        <v>6.2E-2</v>
      </c>
      <c r="S29" s="646">
        <f t="shared" si="45"/>
        <v>6.2E-2</v>
      </c>
      <c r="T29" s="930">
        <f t="shared" si="45"/>
        <v>6.2E-2</v>
      </c>
      <c r="U29" s="646">
        <f t="shared" si="45"/>
        <v>6.2E-2</v>
      </c>
      <c r="V29" s="646">
        <f t="shared" si="45"/>
        <v>6.2E-2</v>
      </c>
      <c r="W29" s="646">
        <f t="shared" si="45"/>
        <v>6.2E-2</v>
      </c>
      <c r="X29" s="646">
        <f t="shared" si="45"/>
        <v>6.2E-2</v>
      </c>
      <c r="Y29" s="646">
        <f t="shared" si="45"/>
        <v>6.2E-2</v>
      </c>
      <c r="Z29" s="646">
        <f t="shared" si="45"/>
        <v>6.2E-2</v>
      </c>
      <c r="AA29" s="646">
        <f t="shared" si="45"/>
        <v>6.2E-2</v>
      </c>
      <c r="AB29" s="646">
        <f t="shared" si="45"/>
        <v>6.2E-2</v>
      </c>
      <c r="AC29" s="646">
        <f t="shared" si="45"/>
        <v>6.2E-2</v>
      </c>
      <c r="AD29" s="646">
        <f t="shared" si="45"/>
        <v>6.2E-2</v>
      </c>
      <c r="AE29" s="646">
        <f t="shared" si="45"/>
        <v>6.2E-2</v>
      </c>
      <c r="AF29" s="646">
        <f t="shared" si="45"/>
        <v>6.2E-2</v>
      </c>
      <c r="AG29" s="930">
        <f t="shared" si="45"/>
        <v>6.2E-2</v>
      </c>
      <c r="AH29" s="930">
        <f t="shared" si="45"/>
        <v>6.2E-2</v>
      </c>
      <c r="AI29" s="930">
        <f t="shared" si="45"/>
        <v>6.2E-2</v>
      </c>
      <c r="AJ29" s="930">
        <f t="shared" si="45"/>
        <v>6.2E-2</v>
      </c>
      <c r="AK29" s="930">
        <f t="shared" si="45"/>
        <v>6.2E-2</v>
      </c>
      <c r="AL29" s="930">
        <f t="shared" si="45"/>
        <v>6.2E-2</v>
      </c>
      <c r="AM29" s="930">
        <f t="shared" si="45"/>
        <v>6.2E-2</v>
      </c>
      <c r="AN29" s="930">
        <f t="shared" si="45"/>
        <v>6.2E-2</v>
      </c>
      <c r="AO29" s="930">
        <f t="shared" si="45"/>
        <v>6.2E-2</v>
      </c>
    </row>
    <row r="30" spans="1:41" x14ac:dyDescent="0.2">
      <c r="A30" s="36" t="s">
        <v>338</v>
      </c>
      <c r="B30" s="15"/>
      <c r="C30" s="632">
        <v>1.4500000000000001E-2</v>
      </c>
      <c r="D30" s="646">
        <f>C30</f>
        <v>1.4500000000000001E-2</v>
      </c>
      <c r="E30" s="646">
        <f t="shared" si="45"/>
        <v>1.4500000000000001E-2</v>
      </c>
      <c r="F30" s="646">
        <f t="shared" si="45"/>
        <v>1.4500000000000001E-2</v>
      </c>
      <c r="G30" s="930">
        <f t="shared" si="45"/>
        <v>1.4500000000000001E-2</v>
      </c>
      <c r="H30" s="646">
        <f t="shared" si="45"/>
        <v>1.4500000000000001E-2</v>
      </c>
      <c r="I30" s="646">
        <f t="shared" si="45"/>
        <v>1.4500000000000001E-2</v>
      </c>
      <c r="J30" s="646">
        <f t="shared" si="45"/>
        <v>1.4500000000000001E-2</v>
      </c>
      <c r="K30" s="646">
        <f t="shared" si="45"/>
        <v>1.4500000000000001E-2</v>
      </c>
      <c r="L30" s="646">
        <f t="shared" si="45"/>
        <v>1.4500000000000001E-2</v>
      </c>
      <c r="M30" s="646">
        <f t="shared" si="45"/>
        <v>1.4500000000000001E-2</v>
      </c>
      <c r="N30" s="646">
        <f t="shared" si="45"/>
        <v>1.4500000000000001E-2</v>
      </c>
      <c r="O30" s="646">
        <f t="shared" si="45"/>
        <v>1.4500000000000001E-2</v>
      </c>
      <c r="P30" s="646">
        <f t="shared" si="45"/>
        <v>1.4500000000000001E-2</v>
      </c>
      <c r="Q30" s="646">
        <f t="shared" si="45"/>
        <v>1.4500000000000001E-2</v>
      </c>
      <c r="R30" s="646">
        <f t="shared" si="45"/>
        <v>1.4500000000000001E-2</v>
      </c>
      <c r="S30" s="646">
        <f t="shared" si="45"/>
        <v>1.4500000000000001E-2</v>
      </c>
      <c r="T30" s="930">
        <f t="shared" si="45"/>
        <v>1.4500000000000001E-2</v>
      </c>
      <c r="U30" s="646">
        <f t="shared" si="45"/>
        <v>1.4500000000000001E-2</v>
      </c>
      <c r="V30" s="646">
        <f t="shared" si="45"/>
        <v>1.4500000000000001E-2</v>
      </c>
      <c r="W30" s="646">
        <f t="shared" si="45"/>
        <v>1.4500000000000001E-2</v>
      </c>
      <c r="X30" s="646">
        <f t="shared" si="45"/>
        <v>1.4500000000000001E-2</v>
      </c>
      <c r="Y30" s="646">
        <f t="shared" si="45"/>
        <v>1.4500000000000001E-2</v>
      </c>
      <c r="Z30" s="646">
        <f t="shared" si="45"/>
        <v>1.4500000000000001E-2</v>
      </c>
      <c r="AA30" s="646">
        <f t="shared" si="45"/>
        <v>1.4500000000000001E-2</v>
      </c>
      <c r="AB30" s="646">
        <f t="shared" si="45"/>
        <v>1.4500000000000001E-2</v>
      </c>
      <c r="AC30" s="646">
        <f t="shared" si="45"/>
        <v>1.4500000000000001E-2</v>
      </c>
      <c r="AD30" s="646">
        <f t="shared" si="45"/>
        <v>1.4500000000000001E-2</v>
      </c>
      <c r="AE30" s="646">
        <f t="shared" si="45"/>
        <v>1.4500000000000001E-2</v>
      </c>
      <c r="AF30" s="646">
        <f t="shared" si="45"/>
        <v>1.4500000000000001E-2</v>
      </c>
      <c r="AG30" s="930">
        <f t="shared" si="45"/>
        <v>1.4500000000000001E-2</v>
      </c>
      <c r="AH30" s="930">
        <f t="shared" si="45"/>
        <v>1.4500000000000001E-2</v>
      </c>
      <c r="AI30" s="930">
        <f t="shared" si="45"/>
        <v>1.4500000000000001E-2</v>
      </c>
      <c r="AJ30" s="930">
        <f t="shared" si="45"/>
        <v>1.4500000000000001E-2</v>
      </c>
      <c r="AK30" s="930">
        <f t="shared" si="45"/>
        <v>1.4500000000000001E-2</v>
      </c>
      <c r="AL30" s="930">
        <f t="shared" si="45"/>
        <v>1.4500000000000001E-2</v>
      </c>
      <c r="AM30" s="930">
        <f t="shared" si="45"/>
        <v>1.4500000000000001E-2</v>
      </c>
      <c r="AN30" s="930">
        <f t="shared" si="45"/>
        <v>1.4500000000000001E-2</v>
      </c>
      <c r="AO30" s="930">
        <f t="shared" si="45"/>
        <v>1.4500000000000001E-2</v>
      </c>
    </row>
    <row r="31" spans="1:41" x14ac:dyDescent="0.2">
      <c r="A31" s="36" t="s">
        <v>339</v>
      </c>
      <c r="B31" s="15"/>
      <c r="C31" s="632">
        <v>0</v>
      </c>
      <c r="D31" s="646">
        <f>C31</f>
        <v>0</v>
      </c>
      <c r="E31" s="646">
        <f t="shared" si="45"/>
        <v>0</v>
      </c>
      <c r="F31" s="646">
        <f t="shared" si="45"/>
        <v>0</v>
      </c>
      <c r="G31" s="930">
        <f t="shared" si="45"/>
        <v>0</v>
      </c>
      <c r="H31" s="646">
        <f t="shared" si="45"/>
        <v>0</v>
      </c>
      <c r="I31" s="646">
        <f t="shared" si="45"/>
        <v>0</v>
      </c>
      <c r="J31" s="646">
        <f t="shared" si="45"/>
        <v>0</v>
      </c>
      <c r="K31" s="646">
        <f t="shared" si="45"/>
        <v>0</v>
      </c>
      <c r="L31" s="646">
        <f t="shared" si="45"/>
        <v>0</v>
      </c>
      <c r="M31" s="646">
        <f t="shared" si="45"/>
        <v>0</v>
      </c>
      <c r="N31" s="646">
        <f t="shared" si="45"/>
        <v>0</v>
      </c>
      <c r="O31" s="646">
        <f t="shared" si="45"/>
        <v>0</v>
      </c>
      <c r="P31" s="646">
        <f t="shared" si="45"/>
        <v>0</v>
      </c>
      <c r="Q31" s="646">
        <f t="shared" si="45"/>
        <v>0</v>
      </c>
      <c r="R31" s="646">
        <f t="shared" si="45"/>
        <v>0</v>
      </c>
      <c r="S31" s="646">
        <f t="shared" si="45"/>
        <v>0</v>
      </c>
      <c r="T31" s="930">
        <f t="shared" si="45"/>
        <v>0</v>
      </c>
      <c r="U31" s="646">
        <f t="shared" si="45"/>
        <v>0</v>
      </c>
      <c r="V31" s="646">
        <f t="shared" si="45"/>
        <v>0</v>
      </c>
      <c r="W31" s="646">
        <f t="shared" si="45"/>
        <v>0</v>
      </c>
      <c r="X31" s="646">
        <f t="shared" si="45"/>
        <v>0</v>
      </c>
      <c r="Y31" s="646">
        <f t="shared" si="45"/>
        <v>0</v>
      </c>
      <c r="Z31" s="646">
        <f t="shared" si="45"/>
        <v>0</v>
      </c>
      <c r="AA31" s="646">
        <f t="shared" si="45"/>
        <v>0</v>
      </c>
      <c r="AB31" s="646">
        <f t="shared" si="45"/>
        <v>0</v>
      </c>
      <c r="AC31" s="646">
        <f t="shared" si="45"/>
        <v>0</v>
      </c>
      <c r="AD31" s="646">
        <f t="shared" si="45"/>
        <v>0</v>
      </c>
      <c r="AE31" s="646">
        <f t="shared" si="45"/>
        <v>0</v>
      </c>
      <c r="AF31" s="646">
        <f t="shared" si="45"/>
        <v>0</v>
      </c>
      <c r="AG31" s="930">
        <f t="shared" si="45"/>
        <v>0</v>
      </c>
      <c r="AH31" s="930">
        <f t="shared" si="45"/>
        <v>0</v>
      </c>
      <c r="AI31" s="930">
        <f t="shared" si="45"/>
        <v>0</v>
      </c>
      <c r="AJ31" s="930">
        <f t="shared" si="45"/>
        <v>0</v>
      </c>
      <c r="AK31" s="930">
        <f t="shared" si="45"/>
        <v>0</v>
      </c>
      <c r="AL31" s="930">
        <f t="shared" si="45"/>
        <v>0</v>
      </c>
      <c r="AM31" s="930">
        <f t="shared" si="45"/>
        <v>0</v>
      </c>
      <c r="AN31" s="930">
        <f t="shared" si="45"/>
        <v>0</v>
      </c>
      <c r="AO31" s="930">
        <f t="shared" si="45"/>
        <v>0</v>
      </c>
    </row>
    <row r="32" spans="1:41" x14ac:dyDescent="0.2">
      <c r="A32" s="769" t="s">
        <v>340</v>
      </c>
      <c r="B32" s="772"/>
      <c r="C32" s="773">
        <f t="shared" ref="C32:AO32" si="46">C28*SUM(C29:C31)</f>
        <v>0</v>
      </c>
      <c r="D32" s="773">
        <f t="shared" si="46"/>
        <v>0</v>
      </c>
      <c r="E32" s="773">
        <f t="shared" si="46"/>
        <v>0</v>
      </c>
      <c r="F32" s="773">
        <f t="shared" si="46"/>
        <v>0</v>
      </c>
      <c r="G32" s="928">
        <f t="shared" si="46"/>
        <v>0</v>
      </c>
      <c r="H32" s="773">
        <f t="shared" si="46"/>
        <v>1083.75</v>
      </c>
      <c r="I32" s="773">
        <f t="shared" si="46"/>
        <v>1083.75</v>
      </c>
      <c r="J32" s="773">
        <f t="shared" si="46"/>
        <v>1083.75</v>
      </c>
      <c r="K32" s="773">
        <f t="shared" si="46"/>
        <v>1083.75</v>
      </c>
      <c r="L32" s="773">
        <f t="shared" si="46"/>
        <v>1083.75</v>
      </c>
      <c r="M32" s="773">
        <f t="shared" si="46"/>
        <v>1083.75</v>
      </c>
      <c r="N32" s="773">
        <f t="shared" si="46"/>
        <v>2677.5</v>
      </c>
      <c r="O32" s="773">
        <f t="shared" si="46"/>
        <v>2677.5</v>
      </c>
      <c r="P32" s="773">
        <f t="shared" si="46"/>
        <v>2677.5</v>
      </c>
      <c r="Q32" s="773">
        <f t="shared" si="46"/>
        <v>2677.5</v>
      </c>
      <c r="R32" s="773">
        <f t="shared" si="46"/>
        <v>2677.5</v>
      </c>
      <c r="S32" s="773">
        <f t="shared" si="46"/>
        <v>2677.5</v>
      </c>
      <c r="T32" s="928">
        <f t="shared" si="46"/>
        <v>22567.5</v>
      </c>
      <c r="U32" s="773">
        <f t="shared" si="46"/>
        <v>5737.5</v>
      </c>
      <c r="V32" s="773">
        <f t="shared" si="46"/>
        <v>5737.5</v>
      </c>
      <c r="W32" s="773">
        <f t="shared" si="46"/>
        <v>5737.5</v>
      </c>
      <c r="X32" s="773">
        <f t="shared" si="46"/>
        <v>5737.5</v>
      </c>
      <c r="Y32" s="773">
        <f t="shared" si="46"/>
        <v>5737.5</v>
      </c>
      <c r="Z32" s="773">
        <f t="shared" si="46"/>
        <v>5737.5</v>
      </c>
      <c r="AA32" s="773">
        <f t="shared" si="46"/>
        <v>6056.25</v>
      </c>
      <c r="AB32" s="773">
        <f t="shared" si="46"/>
        <v>6056.25</v>
      </c>
      <c r="AC32" s="773">
        <f t="shared" si="46"/>
        <v>6056.25</v>
      </c>
      <c r="AD32" s="773">
        <f t="shared" si="46"/>
        <v>6056.25</v>
      </c>
      <c r="AE32" s="773">
        <f t="shared" si="46"/>
        <v>6056.25</v>
      </c>
      <c r="AF32" s="773">
        <f t="shared" si="46"/>
        <v>6056.25</v>
      </c>
      <c r="AG32" s="928">
        <f t="shared" si="46"/>
        <v>70762.5</v>
      </c>
      <c r="AH32" s="928">
        <f t="shared" si="46"/>
        <v>95625</v>
      </c>
      <c r="AI32" s="928">
        <f t="shared" si="46"/>
        <v>118575</v>
      </c>
      <c r="AJ32" s="928">
        <f t="shared" si="46"/>
        <v>141525</v>
      </c>
      <c r="AK32" s="928">
        <f t="shared" si="46"/>
        <v>164475</v>
      </c>
      <c r="AL32" s="928">
        <f t="shared" si="46"/>
        <v>187425</v>
      </c>
      <c r="AM32" s="928">
        <f t="shared" si="46"/>
        <v>210375</v>
      </c>
      <c r="AN32" s="928">
        <f t="shared" si="46"/>
        <v>233325</v>
      </c>
      <c r="AO32" s="928">
        <f t="shared" si="46"/>
        <v>256275</v>
      </c>
    </row>
    <row r="33" spans="1:41" x14ac:dyDescent="0.2">
      <c r="A33" s="769"/>
      <c r="B33" s="772"/>
      <c r="C33" s="772"/>
      <c r="D33" s="772"/>
      <c r="E33" s="772"/>
      <c r="F33" s="772"/>
      <c r="G33" s="960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928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3"/>
      <c r="AG33" s="928"/>
      <c r="AH33" s="928"/>
      <c r="AI33" s="928"/>
      <c r="AJ33" s="928"/>
      <c r="AK33" s="928"/>
      <c r="AL33" s="928"/>
      <c r="AM33" s="928"/>
      <c r="AN33" s="928"/>
      <c r="AO33" s="928"/>
    </row>
    <row r="34" spans="1:41" x14ac:dyDescent="0.2">
      <c r="A34" s="769" t="s">
        <v>402</v>
      </c>
      <c r="B34" s="772"/>
      <c r="C34" s="772"/>
      <c r="D34" s="772"/>
      <c r="E34" s="772"/>
      <c r="F34" s="772"/>
      <c r="G34" s="960"/>
      <c r="H34" s="775"/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6"/>
      <c r="U34" s="775"/>
      <c r="V34" s="775"/>
      <c r="W34" s="775"/>
      <c r="X34" s="775"/>
      <c r="Y34" s="775"/>
      <c r="Z34" s="775"/>
      <c r="AA34" s="775"/>
      <c r="AB34" s="775"/>
      <c r="AC34" s="775"/>
      <c r="AD34" s="775"/>
      <c r="AE34" s="775"/>
      <c r="AF34" s="775"/>
      <c r="AG34" s="776"/>
      <c r="AH34" s="777"/>
      <c r="AI34" s="777"/>
      <c r="AJ34" s="777"/>
      <c r="AK34" s="777"/>
      <c r="AL34" s="777"/>
      <c r="AM34" s="777"/>
      <c r="AN34" s="777"/>
      <c r="AO34" s="777"/>
    </row>
    <row r="35" spans="1:41" x14ac:dyDescent="0.2">
      <c r="A35" s="36" t="s">
        <v>403</v>
      </c>
      <c r="B35" s="15"/>
      <c r="C35" s="15">
        <f t="shared" ref="C35:AO35" si="47">C8+C13+C18+C23</f>
        <v>1</v>
      </c>
      <c r="D35" s="15">
        <f t="shared" si="47"/>
        <v>1</v>
      </c>
      <c r="E35" s="15">
        <f t="shared" si="47"/>
        <v>1</v>
      </c>
      <c r="F35" s="15">
        <f t="shared" si="47"/>
        <v>1</v>
      </c>
      <c r="G35" s="875">
        <f t="shared" si="47"/>
        <v>1</v>
      </c>
      <c r="H35" s="15">
        <f t="shared" si="47"/>
        <v>2</v>
      </c>
      <c r="I35" s="15">
        <f t="shared" si="47"/>
        <v>2</v>
      </c>
      <c r="J35" s="15">
        <f t="shared" si="47"/>
        <v>2</v>
      </c>
      <c r="K35" s="15">
        <f t="shared" si="47"/>
        <v>2</v>
      </c>
      <c r="L35" s="15">
        <f t="shared" si="47"/>
        <v>2</v>
      </c>
      <c r="M35" s="15">
        <f t="shared" si="47"/>
        <v>2</v>
      </c>
      <c r="N35" s="15">
        <f t="shared" si="47"/>
        <v>5</v>
      </c>
      <c r="O35" s="15">
        <f t="shared" si="47"/>
        <v>5</v>
      </c>
      <c r="P35" s="15">
        <f t="shared" si="47"/>
        <v>5</v>
      </c>
      <c r="Q35" s="15">
        <f t="shared" si="47"/>
        <v>5</v>
      </c>
      <c r="R35" s="15">
        <f t="shared" si="47"/>
        <v>5</v>
      </c>
      <c r="S35" s="15">
        <f t="shared" si="47"/>
        <v>5</v>
      </c>
      <c r="T35" s="875">
        <f t="shared" si="47"/>
        <v>5</v>
      </c>
      <c r="U35" s="15">
        <f t="shared" si="47"/>
        <v>7</v>
      </c>
      <c r="V35" s="15">
        <f t="shared" si="47"/>
        <v>7</v>
      </c>
      <c r="W35" s="15">
        <f t="shared" si="47"/>
        <v>7</v>
      </c>
      <c r="X35" s="15">
        <f t="shared" si="47"/>
        <v>7</v>
      </c>
      <c r="Y35" s="15">
        <f t="shared" si="47"/>
        <v>7</v>
      </c>
      <c r="Z35" s="15">
        <f t="shared" si="47"/>
        <v>7</v>
      </c>
      <c r="AA35" s="15">
        <f t="shared" si="47"/>
        <v>8</v>
      </c>
      <c r="AB35" s="15">
        <f t="shared" si="47"/>
        <v>8</v>
      </c>
      <c r="AC35" s="15">
        <f t="shared" si="47"/>
        <v>8</v>
      </c>
      <c r="AD35" s="15">
        <f t="shared" si="47"/>
        <v>8</v>
      </c>
      <c r="AE35" s="15">
        <f t="shared" si="47"/>
        <v>8</v>
      </c>
      <c r="AF35" s="15">
        <f t="shared" si="47"/>
        <v>8</v>
      </c>
      <c r="AG35" s="875">
        <f t="shared" si="47"/>
        <v>8</v>
      </c>
      <c r="AH35" s="875">
        <f t="shared" si="47"/>
        <v>12</v>
      </c>
      <c r="AI35" s="875">
        <f t="shared" si="47"/>
        <v>16</v>
      </c>
      <c r="AJ35" s="875">
        <f t="shared" si="47"/>
        <v>20</v>
      </c>
      <c r="AK35" s="875">
        <f t="shared" si="47"/>
        <v>24</v>
      </c>
      <c r="AL35" s="875">
        <f t="shared" si="47"/>
        <v>28</v>
      </c>
      <c r="AM35" s="875">
        <f t="shared" si="47"/>
        <v>32</v>
      </c>
      <c r="AN35" s="875">
        <f t="shared" si="47"/>
        <v>36</v>
      </c>
      <c r="AO35" s="875">
        <f t="shared" si="47"/>
        <v>40</v>
      </c>
    </row>
    <row r="36" spans="1:41" x14ac:dyDescent="0.2">
      <c r="A36" s="36" t="s">
        <v>404</v>
      </c>
      <c r="B36" s="15"/>
      <c r="C36" s="696">
        <f>$G36/C35</f>
        <v>0</v>
      </c>
      <c r="D36" s="696">
        <f t="shared" ref="D36:F36" si="48">$G36/D35</f>
        <v>0</v>
      </c>
      <c r="E36" s="696">
        <f t="shared" si="48"/>
        <v>0</v>
      </c>
      <c r="F36" s="696">
        <f t="shared" si="48"/>
        <v>0</v>
      </c>
      <c r="G36" s="931">
        <v>0</v>
      </c>
      <c r="H36" s="696">
        <f t="shared" ref="H36:S36" si="49">$T36/12</f>
        <v>833.33333333333337</v>
      </c>
      <c r="I36" s="696">
        <f t="shared" si="49"/>
        <v>833.33333333333337</v>
      </c>
      <c r="J36" s="696">
        <f t="shared" si="49"/>
        <v>833.33333333333337</v>
      </c>
      <c r="K36" s="696">
        <f t="shared" si="49"/>
        <v>833.33333333333337</v>
      </c>
      <c r="L36" s="696">
        <f t="shared" si="49"/>
        <v>833.33333333333337</v>
      </c>
      <c r="M36" s="696">
        <f t="shared" si="49"/>
        <v>833.33333333333337</v>
      </c>
      <c r="N36" s="696">
        <f t="shared" si="49"/>
        <v>833.33333333333337</v>
      </c>
      <c r="O36" s="696">
        <f t="shared" si="49"/>
        <v>833.33333333333337</v>
      </c>
      <c r="P36" s="696">
        <f t="shared" si="49"/>
        <v>833.33333333333337</v>
      </c>
      <c r="Q36" s="696">
        <f t="shared" si="49"/>
        <v>833.33333333333337</v>
      </c>
      <c r="R36" s="696">
        <f t="shared" si="49"/>
        <v>833.33333333333337</v>
      </c>
      <c r="S36" s="696">
        <f t="shared" si="49"/>
        <v>833.33333333333337</v>
      </c>
      <c r="T36" s="931">
        <v>10000</v>
      </c>
      <c r="U36" s="696">
        <f>$AG36/12</f>
        <v>833.33333333333337</v>
      </c>
      <c r="V36" s="696">
        <f t="shared" ref="V36:AF36" si="50">$AG36/12</f>
        <v>833.33333333333337</v>
      </c>
      <c r="W36" s="696">
        <f t="shared" si="50"/>
        <v>833.33333333333337</v>
      </c>
      <c r="X36" s="696">
        <f t="shared" si="50"/>
        <v>833.33333333333337</v>
      </c>
      <c r="Y36" s="696">
        <f t="shared" si="50"/>
        <v>833.33333333333337</v>
      </c>
      <c r="Z36" s="696">
        <f t="shared" si="50"/>
        <v>833.33333333333337</v>
      </c>
      <c r="AA36" s="696">
        <f t="shared" si="50"/>
        <v>833.33333333333337</v>
      </c>
      <c r="AB36" s="696">
        <f t="shared" si="50"/>
        <v>833.33333333333337</v>
      </c>
      <c r="AC36" s="696">
        <f t="shared" si="50"/>
        <v>833.33333333333337</v>
      </c>
      <c r="AD36" s="696">
        <f t="shared" si="50"/>
        <v>833.33333333333337</v>
      </c>
      <c r="AE36" s="696">
        <f t="shared" si="50"/>
        <v>833.33333333333337</v>
      </c>
      <c r="AF36" s="696">
        <f t="shared" si="50"/>
        <v>833.33333333333337</v>
      </c>
      <c r="AG36" s="931">
        <f>T36</f>
        <v>10000</v>
      </c>
      <c r="AH36" s="931">
        <f t="shared" ref="AH36:AO36" si="51">AG36</f>
        <v>10000</v>
      </c>
      <c r="AI36" s="931">
        <f t="shared" si="51"/>
        <v>10000</v>
      </c>
      <c r="AJ36" s="931">
        <f t="shared" si="51"/>
        <v>10000</v>
      </c>
      <c r="AK36" s="931">
        <f t="shared" si="51"/>
        <v>10000</v>
      </c>
      <c r="AL36" s="931">
        <f t="shared" si="51"/>
        <v>10000</v>
      </c>
      <c r="AM36" s="931">
        <f t="shared" si="51"/>
        <v>10000</v>
      </c>
      <c r="AN36" s="931">
        <f t="shared" si="51"/>
        <v>10000</v>
      </c>
      <c r="AO36" s="931">
        <f t="shared" si="51"/>
        <v>10000</v>
      </c>
    </row>
    <row r="37" spans="1:41" x14ac:dyDescent="0.2">
      <c r="A37" s="769" t="s">
        <v>405</v>
      </c>
      <c r="B37" s="15"/>
      <c r="C37" s="775">
        <f t="shared" ref="C37:F37" si="52">C35*C36</f>
        <v>0</v>
      </c>
      <c r="D37" s="775">
        <f t="shared" si="52"/>
        <v>0</v>
      </c>
      <c r="E37" s="775">
        <f t="shared" si="52"/>
        <v>0</v>
      </c>
      <c r="F37" s="775">
        <f t="shared" si="52"/>
        <v>0</v>
      </c>
      <c r="G37" s="932">
        <f>SUM(C37:F37)</f>
        <v>0</v>
      </c>
      <c r="H37" s="775">
        <f t="shared" ref="H37:AO37" si="53">H35*H36</f>
        <v>1666.6666666666667</v>
      </c>
      <c r="I37" s="775">
        <f t="shared" si="53"/>
        <v>1666.6666666666667</v>
      </c>
      <c r="J37" s="775">
        <f t="shared" si="53"/>
        <v>1666.6666666666667</v>
      </c>
      <c r="K37" s="775">
        <f t="shared" si="53"/>
        <v>1666.6666666666667</v>
      </c>
      <c r="L37" s="775">
        <f t="shared" si="53"/>
        <v>1666.6666666666667</v>
      </c>
      <c r="M37" s="775">
        <f t="shared" si="53"/>
        <v>1666.6666666666667</v>
      </c>
      <c r="N37" s="775">
        <f t="shared" si="53"/>
        <v>4166.666666666667</v>
      </c>
      <c r="O37" s="775">
        <f t="shared" si="53"/>
        <v>4166.666666666667</v>
      </c>
      <c r="P37" s="775">
        <f t="shared" si="53"/>
        <v>4166.666666666667</v>
      </c>
      <c r="Q37" s="775">
        <f t="shared" si="53"/>
        <v>4166.666666666667</v>
      </c>
      <c r="R37" s="775">
        <f t="shared" si="53"/>
        <v>4166.666666666667</v>
      </c>
      <c r="S37" s="775">
        <f t="shared" si="53"/>
        <v>4166.666666666667</v>
      </c>
      <c r="T37" s="932">
        <f>SUM(G37:S37)</f>
        <v>35000.000000000007</v>
      </c>
      <c r="U37" s="775">
        <f t="shared" si="53"/>
        <v>5833.3333333333339</v>
      </c>
      <c r="V37" s="775">
        <f t="shared" si="53"/>
        <v>5833.3333333333339</v>
      </c>
      <c r="W37" s="775">
        <f t="shared" si="53"/>
        <v>5833.3333333333339</v>
      </c>
      <c r="X37" s="775">
        <f t="shared" si="53"/>
        <v>5833.3333333333339</v>
      </c>
      <c r="Y37" s="775">
        <f t="shared" si="53"/>
        <v>5833.3333333333339</v>
      </c>
      <c r="Z37" s="775">
        <f t="shared" si="53"/>
        <v>5833.3333333333339</v>
      </c>
      <c r="AA37" s="775">
        <f t="shared" si="53"/>
        <v>6666.666666666667</v>
      </c>
      <c r="AB37" s="775">
        <f t="shared" si="53"/>
        <v>6666.666666666667</v>
      </c>
      <c r="AC37" s="775">
        <f t="shared" si="53"/>
        <v>6666.666666666667</v>
      </c>
      <c r="AD37" s="775">
        <f t="shared" si="53"/>
        <v>6666.666666666667</v>
      </c>
      <c r="AE37" s="775">
        <f t="shared" si="53"/>
        <v>6666.666666666667</v>
      </c>
      <c r="AF37" s="775">
        <f t="shared" si="53"/>
        <v>6666.666666666667</v>
      </c>
      <c r="AG37" s="932">
        <f t="shared" si="53"/>
        <v>80000</v>
      </c>
      <c r="AH37" s="932">
        <f t="shared" si="53"/>
        <v>120000</v>
      </c>
      <c r="AI37" s="932">
        <f t="shared" si="53"/>
        <v>160000</v>
      </c>
      <c r="AJ37" s="932">
        <f t="shared" si="53"/>
        <v>200000</v>
      </c>
      <c r="AK37" s="932">
        <f t="shared" si="53"/>
        <v>240000</v>
      </c>
      <c r="AL37" s="932">
        <f t="shared" si="53"/>
        <v>280000</v>
      </c>
      <c r="AM37" s="932">
        <f t="shared" si="53"/>
        <v>320000</v>
      </c>
      <c r="AN37" s="932">
        <f t="shared" si="53"/>
        <v>360000</v>
      </c>
      <c r="AO37" s="932">
        <f t="shared" si="53"/>
        <v>400000</v>
      </c>
    </row>
    <row r="38" spans="1:41" x14ac:dyDescent="0.2">
      <c r="A38" s="779" t="s">
        <v>269</v>
      </c>
      <c r="B38" s="780"/>
      <c r="C38" s="781" t="str">
        <f>IF('P&amp;L'!C$3&gt;0,C37/'P&amp;L'!C$3,"n/m")</f>
        <v>n/m</v>
      </c>
      <c r="D38" s="781" t="str">
        <f>IF('P&amp;L'!D$3&gt;0,D37/'P&amp;L'!D$3,"n/m")</f>
        <v>n/m</v>
      </c>
      <c r="E38" s="781" t="str">
        <f>IF('P&amp;L'!E$3&gt;0,E37/'P&amp;L'!E$3,"n/m")</f>
        <v>n/m</v>
      </c>
      <c r="F38" s="781" t="str">
        <f>IF('P&amp;L'!F$3&gt;0,F37/'P&amp;L'!F$3,"n/m")</f>
        <v>n/m</v>
      </c>
      <c r="G38" s="933" t="str">
        <f>IF('P&amp;L'!G$3&gt;0,#REF!/'P&amp;L'!G$3,"n/m")</f>
        <v>n/m</v>
      </c>
      <c r="H38" s="781" t="str">
        <f>IF('P&amp;L'!H$3&gt;0,G37/'P&amp;L'!H$3,"n/m")</f>
        <v>n/m</v>
      </c>
      <c r="I38" s="781" t="str">
        <f>IF('P&amp;L'!I$3&gt;0,I37/'P&amp;L'!I$3,"n/m")</f>
        <v>n/m</v>
      </c>
      <c r="J38" s="781" t="str">
        <f>IF('P&amp;L'!J$3&gt;0,J37/'P&amp;L'!J$3,"n/m")</f>
        <v>n/m</v>
      </c>
      <c r="K38" s="781" t="str">
        <f>IF('P&amp;L'!K$3&gt;0,K37/'P&amp;L'!K$3,"n/m")</f>
        <v>n/m</v>
      </c>
      <c r="L38" s="781" t="str">
        <f>IF('P&amp;L'!L$3&gt;0,L37/'P&amp;L'!L$3,"n/m")</f>
        <v>n/m</v>
      </c>
      <c r="M38" s="781" t="str">
        <f>IF('P&amp;L'!M$3&gt;0,M37/'P&amp;L'!M$3,"n/m")</f>
        <v>n/m</v>
      </c>
      <c r="N38" s="781" t="str">
        <f>IF('P&amp;L'!N$3&gt;0,N37/'P&amp;L'!N$3,"n/m")</f>
        <v>n/m</v>
      </c>
      <c r="O38" s="781" t="str">
        <f>IF('P&amp;L'!O$3&gt;0,O37/'P&amp;L'!O$3,"n/m")</f>
        <v>n/m</v>
      </c>
      <c r="P38" s="781" t="str">
        <f>IF('P&amp;L'!P$3&gt;0,P37/'P&amp;L'!P$3,"n/m")</f>
        <v>n/m</v>
      </c>
      <c r="Q38" s="781" t="str">
        <f>IF('P&amp;L'!Q$3&gt;0,Q37/'P&amp;L'!Q$3,"n/m")</f>
        <v>n/m</v>
      </c>
      <c r="R38" s="781" t="str">
        <f>IF('P&amp;L'!R$3&gt;0,R37/'P&amp;L'!R$3,"n/m")</f>
        <v>n/m</v>
      </c>
      <c r="S38" s="781" t="str">
        <f>IF('P&amp;L'!S$3&gt;0,S37/'P&amp;L'!S$3,"n/m")</f>
        <v>n/m</v>
      </c>
      <c r="T38" s="933" t="str">
        <f>IF('P&amp;L'!T$3&gt;0,T37/'P&amp;L'!T$3,"n/m")</f>
        <v>n/m</v>
      </c>
      <c r="U38" s="781" t="str">
        <f>IF('P&amp;L'!U$3&gt;0,U37/'P&amp;L'!U$3,"n/m")</f>
        <v>n/m</v>
      </c>
      <c r="V38" s="781" t="str">
        <f>IF('P&amp;L'!V$3&gt;0,V37/'P&amp;L'!V$3,"n/m")</f>
        <v>n/m</v>
      </c>
      <c r="W38" s="781">
        <f>IF('P&amp;L'!W$3&gt;0,W37/'P&amp;L'!W$3,"n/m")</f>
        <v>1.0084638933909597E-2</v>
      </c>
      <c r="X38" s="781">
        <f>IF('P&amp;L'!X$3&gt;0,X37/'P&amp;L'!X$3,"n/m")</f>
        <v>8.2522841143530812E-3</v>
      </c>
      <c r="Y38" s="781">
        <f>IF('P&amp;L'!Y$3&gt;0,Y37/'P&amp;L'!Y$3,"n/m")</f>
        <v>7.1111111111111115E-3</v>
      </c>
      <c r="Z38" s="781">
        <f>IF('P&amp;L'!Z$3&gt;0,Z37/'P&amp;L'!Z$3,"n/m")</f>
        <v>6.3492063492063501E-3</v>
      </c>
      <c r="AA38" s="781">
        <f>IF('P&amp;L'!AA$3&gt;0,AA37/'P&amp;L'!AA$3,"n/m")</f>
        <v>6.5540194572452637E-3</v>
      </c>
      <c r="AB38" s="781">
        <f>IF('P&amp;L'!AB$3&gt;0,AB37/'P&amp;L'!AB$3,"n/m")</f>
        <v>5.9757236227824468E-3</v>
      </c>
      <c r="AC38" s="781">
        <f>IF('P&amp;L'!AC$3&gt;0,AC37/'P&amp;L'!AC$3,"n/m")</f>
        <v>5.4912054912054911E-3</v>
      </c>
      <c r="AD38" s="781">
        <f>IF('P&amp;L'!AD$3&gt;0,AD37/'P&amp;L'!AD$3,"n/m")</f>
        <v>5.0793650793650794E-3</v>
      </c>
      <c r="AE38" s="781">
        <f>IF('P&amp;L'!AE$3&gt;0,AE37/'P&amp;L'!AE$3,"n/m")</f>
        <v>4.7249907715023994E-3</v>
      </c>
      <c r="AF38" s="781">
        <f>IF('P&amp;L'!AF$3&gt;0,AF37/'P&amp;L'!AF$3,"n/m")</f>
        <v>4.4168391994478954E-3</v>
      </c>
      <c r="AG38" s="933">
        <f>IF('P&amp;L'!AG$3&gt;0,AG37/'P&amp;L'!AG$3,"n/m")</f>
        <v>7.544278431025845E-3</v>
      </c>
      <c r="AH38" s="933">
        <f>IF('P&amp;L'!AH$3&gt;0,AH37/'P&amp;L'!AH$3,"n/m")</f>
        <v>3.7113347061405776E-3</v>
      </c>
      <c r="AI38" s="933">
        <f>IF('P&amp;L'!AI$3&gt;0,AI37/'P&amp;L'!AI$3,"n/m")</f>
        <v>2.5917684279609171E-3</v>
      </c>
      <c r="AJ38" s="933">
        <f>IF('P&amp;L'!AJ$3&gt;0,AJ37/'P&amp;L'!AJ$3,"n/m")</f>
        <v>1.9123976315513545E-3</v>
      </c>
      <c r="AK38" s="933">
        <f>IF('P&amp;L'!AK$3&gt;0,AK37/'P&amp;L'!AK$3,"n/m")</f>
        <v>1.4932298818666325E-3</v>
      </c>
      <c r="AL38" s="933">
        <f>IF('P&amp;L'!AL$3&gt;0,AL37/'P&amp;L'!AL$3,"n/m")</f>
        <v>1.3291676923326953E-3</v>
      </c>
      <c r="AM38" s="933">
        <f>IF('P&amp;L'!AM$3&gt;0,AM37/'P&amp;L'!AM$3,"n/m")</f>
        <v>1.2924511521533932E-3</v>
      </c>
      <c r="AN38" s="933">
        <f>IF('P&amp;L'!AN$3&gt;0,AN37/'P&amp;L'!AN$3,"n/m")</f>
        <v>1.2742231063423706E-3</v>
      </c>
      <c r="AO38" s="933">
        <f>IF('P&amp;L'!AO$3&gt;0,AO37/'P&amp;L'!AO$3,"n/m")</f>
        <v>1.2607668721233071E-3</v>
      </c>
    </row>
    <row r="39" spans="1:41" x14ac:dyDescent="0.2">
      <c r="A39" s="769"/>
      <c r="B39" s="772"/>
      <c r="C39" s="772"/>
      <c r="D39" s="772"/>
      <c r="E39" s="772"/>
      <c r="F39" s="772"/>
      <c r="G39" s="960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  <c r="S39" s="773"/>
      <c r="T39" s="928"/>
      <c r="U39" s="773"/>
      <c r="V39" s="773"/>
      <c r="W39" s="773"/>
      <c r="X39" s="773"/>
      <c r="Y39" s="773"/>
      <c r="Z39" s="773"/>
      <c r="AA39" s="773"/>
      <c r="AB39" s="773"/>
      <c r="AC39" s="773"/>
      <c r="AD39" s="773"/>
      <c r="AE39" s="773"/>
      <c r="AF39" s="773"/>
      <c r="AG39" s="928"/>
      <c r="AH39" s="928"/>
      <c r="AI39" s="928"/>
      <c r="AJ39" s="928"/>
      <c r="AK39" s="928"/>
      <c r="AL39" s="928"/>
      <c r="AM39" s="928"/>
      <c r="AN39" s="928"/>
      <c r="AO39" s="928"/>
    </row>
    <row r="40" spans="1:41" x14ac:dyDescent="0.2">
      <c r="A40" s="769" t="s">
        <v>229</v>
      </c>
      <c r="B40" s="772"/>
      <c r="C40" s="775">
        <f>$G40/12</f>
        <v>0</v>
      </c>
      <c r="D40" s="775">
        <f t="shared" ref="D40:F40" si="54">$G40/12</f>
        <v>0</v>
      </c>
      <c r="E40" s="775">
        <f t="shared" si="54"/>
        <v>0</v>
      </c>
      <c r="F40" s="775">
        <f t="shared" si="54"/>
        <v>0</v>
      </c>
      <c r="G40" s="950">
        <v>0</v>
      </c>
      <c r="H40" s="778">
        <v>1500</v>
      </c>
      <c r="I40" s="778">
        <f>H40</f>
        <v>1500</v>
      </c>
      <c r="J40" s="778">
        <f t="shared" ref="J40:Q40" si="55">I40</f>
        <v>1500</v>
      </c>
      <c r="K40" s="778">
        <f t="shared" si="55"/>
        <v>1500</v>
      </c>
      <c r="L40" s="778">
        <f t="shared" si="55"/>
        <v>1500</v>
      </c>
      <c r="M40" s="778">
        <f t="shared" si="55"/>
        <v>1500</v>
      </c>
      <c r="N40" s="778">
        <v>3000</v>
      </c>
      <c r="O40" s="778">
        <f t="shared" si="55"/>
        <v>3000</v>
      </c>
      <c r="P40" s="778">
        <f t="shared" si="55"/>
        <v>3000</v>
      </c>
      <c r="Q40" s="778">
        <f t="shared" si="55"/>
        <v>3000</v>
      </c>
      <c r="R40" s="985">
        <v>7500</v>
      </c>
      <c r="S40" s="985">
        <f>R40</f>
        <v>7500</v>
      </c>
      <c r="T40" s="755">
        <f>SUM(H40:S40)</f>
        <v>36000</v>
      </c>
      <c r="U40" s="775">
        <f>$AG40/12</f>
        <v>18750</v>
      </c>
      <c r="V40" s="775">
        <f t="shared" ref="V40:AF40" si="56">$AG40/12</f>
        <v>18750</v>
      </c>
      <c r="W40" s="775">
        <f t="shared" si="56"/>
        <v>18750</v>
      </c>
      <c r="X40" s="775">
        <f t="shared" si="56"/>
        <v>18750</v>
      </c>
      <c r="Y40" s="775">
        <f t="shared" si="56"/>
        <v>18750</v>
      </c>
      <c r="Z40" s="775">
        <f t="shared" si="56"/>
        <v>18750</v>
      </c>
      <c r="AA40" s="775">
        <f t="shared" si="56"/>
        <v>18750</v>
      </c>
      <c r="AB40" s="775">
        <f t="shared" si="56"/>
        <v>18750</v>
      </c>
      <c r="AC40" s="775">
        <f t="shared" si="56"/>
        <v>18750</v>
      </c>
      <c r="AD40" s="775">
        <f t="shared" si="56"/>
        <v>18750</v>
      </c>
      <c r="AE40" s="775">
        <f t="shared" si="56"/>
        <v>18750</v>
      </c>
      <c r="AF40" s="775">
        <f t="shared" si="56"/>
        <v>18750</v>
      </c>
      <c r="AG40" s="776">
        <v>225000</v>
      </c>
      <c r="AH40" s="777">
        <f>AG40*1.5</f>
        <v>337500</v>
      </c>
      <c r="AI40" s="777">
        <f>AH40*1.5</f>
        <v>506250</v>
      </c>
      <c r="AJ40" s="777">
        <f>AI40*1.5</f>
        <v>759375</v>
      </c>
      <c r="AK40" s="777">
        <f>AJ40*1.25</f>
        <v>949218.75</v>
      </c>
      <c r="AL40" s="777">
        <f>AK40*1.25</f>
        <v>1186523.4375</v>
      </c>
      <c r="AM40" s="777">
        <f>AL40*1.25</f>
        <v>1483154.296875</v>
      </c>
      <c r="AN40" s="777">
        <f>AM40*1.25</f>
        <v>1853942.87109375</v>
      </c>
      <c r="AO40" s="777">
        <f>AN40*1.25</f>
        <v>2317428.5888671875</v>
      </c>
    </row>
    <row r="41" spans="1:41" x14ac:dyDescent="0.2">
      <c r="A41" s="779" t="s">
        <v>269</v>
      </c>
      <c r="B41" s="780"/>
      <c r="C41" s="781" t="str">
        <f>IF('P&amp;L'!C$3&gt;0,C40/'P&amp;L'!C$3,"n/m")</f>
        <v>n/m</v>
      </c>
      <c r="D41" s="781" t="str">
        <f>IF('P&amp;L'!D$3&gt;0,D40/'P&amp;L'!D$3,"n/m")</f>
        <v>n/m</v>
      </c>
      <c r="E41" s="781" t="str">
        <f>IF('P&amp;L'!E$3&gt;0,E40/'P&amp;L'!E$3,"n/m")</f>
        <v>n/m</v>
      </c>
      <c r="F41" s="781" t="str">
        <f>IF('P&amp;L'!F$3&gt;0,F40/'P&amp;L'!F$3,"n/m")</f>
        <v>n/m</v>
      </c>
      <c r="G41" s="933" t="str">
        <f>IF('P&amp;L'!G$3&gt;0,G40/'P&amp;L'!G$3,"n/m")</f>
        <v>n/m</v>
      </c>
      <c r="H41" s="781" t="str">
        <f>IF('P&amp;L'!H$3&gt;0,H40/'P&amp;L'!H$3,"n/m")</f>
        <v>n/m</v>
      </c>
      <c r="I41" s="781" t="str">
        <f>IF('P&amp;L'!I$3&gt;0,I40/'P&amp;L'!I$3,"n/m")</f>
        <v>n/m</v>
      </c>
      <c r="J41" s="781" t="str">
        <f>IF('P&amp;L'!J$3&gt;0,J40/'P&amp;L'!J$3,"n/m")</f>
        <v>n/m</v>
      </c>
      <c r="K41" s="781" t="str">
        <f>IF('P&amp;L'!K$3&gt;0,K40/'P&amp;L'!K$3,"n/m")</f>
        <v>n/m</v>
      </c>
      <c r="L41" s="781" t="str">
        <f>IF('P&amp;L'!L$3&gt;0,L40/'P&amp;L'!L$3,"n/m")</f>
        <v>n/m</v>
      </c>
      <c r="M41" s="781" t="str">
        <f>IF('P&amp;L'!M$3&gt;0,M40/'P&amp;L'!M$3,"n/m")</f>
        <v>n/m</v>
      </c>
      <c r="N41" s="781" t="str">
        <f>IF('P&amp;L'!N$3&gt;0,N40/'P&amp;L'!N$3,"n/m")</f>
        <v>n/m</v>
      </c>
      <c r="O41" s="781" t="str">
        <f>IF('P&amp;L'!O$3&gt;0,O40/'P&amp;L'!O$3,"n/m")</f>
        <v>n/m</v>
      </c>
      <c r="P41" s="781" t="str">
        <f>IF('P&amp;L'!P$3&gt;0,P40/'P&amp;L'!P$3,"n/m")</f>
        <v>n/m</v>
      </c>
      <c r="Q41" s="781" t="str">
        <f>IF('P&amp;L'!Q$3&gt;0,Q40/'P&amp;L'!Q$3,"n/m")</f>
        <v>n/m</v>
      </c>
      <c r="R41" s="781" t="str">
        <f>IF('P&amp;L'!R$3&gt;0,R40/'P&amp;L'!R$3,"n/m")</f>
        <v>n/m</v>
      </c>
      <c r="S41" s="781" t="str">
        <f>IF('P&amp;L'!S$3&gt;0,S40/'P&amp;L'!S$3,"n/m")</f>
        <v>n/m</v>
      </c>
      <c r="T41" s="933" t="str">
        <f>IF('P&amp;L'!T$3&gt;0,T40/'P&amp;L'!T$3,"n/m")</f>
        <v>n/m</v>
      </c>
      <c r="U41" s="781" t="str">
        <f>IF('P&amp;L'!U$3&gt;0,U40/'P&amp;L'!U$3,"n/m")</f>
        <v>n/m</v>
      </c>
      <c r="V41" s="781" t="str">
        <f>IF('P&amp;L'!V$3&gt;0,V40/'P&amp;L'!V$3,"n/m")</f>
        <v>n/m</v>
      </c>
      <c r="W41" s="781">
        <f>IF('P&amp;L'!W$3&gt;0,W40/'P&amp;L'!W$3,"n/m")</f>
        <v>3.241491085899513E-2</v>
      </c>
      <c r="X41" s="781">
        <f>IF('P&amp;L'!X$3&gt;0,X40/'P&amp;L'!X$3,"n/m")</f>
        <v>2.6525198938992044E-2</v>
      </c>
      <c r="Y41" s="781">
        <f>IF('P&amp;L'!Y$3&gt;0,Y40/'P&amp;L'!Y$3,"n/m")</f>
        <v>2.2857142857142857E-2</v>
      </c>
      <c r="Z41" s="781">
        <f>IF('P&amp;L'!Z$3&gt;0,Z40/'P&amp;L'!Z$3,"n/m")</f>
        <v>2.0408163265306121E-2</v>
      </c>
      <c r="AA41" s="781">
        <f>IF('P&amp;L'!AA$3&gt;0,AA40/'P&amp;L'!AA$3,"n/m")</f>
        <v>1.8433179723502304E-2</v>
      </c>
      <c r="AB41" s="781">
        <f>IF('P&amp;L'!AB$3&gt;0,AB40/'P&amp;L'!AB$3,"n/m")</f>
        <v>1.680672268907563E-2</v>
      </c>
      <c r="AC41" s="781">
        <f>IF('P&amp;L'!AC$3&gt;0,AC40/'P&amp;L'!AC$3,"n/m")</f>
        <v>1.5444015444015444E-2</v>
      </c>
      <c r="AD41" s="781">
        <f>IF('P&amp;L'!AD$3&gt;0,AD40/'P&amp;L'!AD$3,"n/m")</f>
        <v>1.4285714285714285E-2</v>
      </c>
      <c r="AE41" s="781">
        <f>IF('P&amp;L'!AE$3&gt;0,AE40/'P&amp;L'!AE$3,"n/m")</f>
        <v>1.3289036544850499E-2</v>
      </c>
      <c r="AF41" s="781">
        <f>IF('P&amp;L'!AF$3&gt;0,AF40/'P&amp;L'!AF$3,"n/m")</f>
        <v>1.2422360248447204E-2</v>
      </c>
      <c r="AG41" s="933">
        <f>IF('P&amp;L'!AG$3&gt;0,AG40/'P&amp;L'!AG$3,"n/m")</f>
        <v>2.121828308726019E-2</v>
      </c>
      <c r="AH41" s="933">
        <f>IF('P&amp;L'!AH$3&gt;0,AH40/'P&amp;L'!AH$3,"n/m")</f>
        <v>1.0438128861020374E-2</v>
      </c>
      <c r="AI41" s="933">
        <f>IF('P&amp;L'!AI$3&gt;0,AI40/'P&amp;L'!AI$3,"n/m")</f>
        <v>8.2005172915950893E-3</v>
      </c>
      <c r="AJ41" s="933">
        <f>IF('P&amp;L'!AJ$3&gt;0,AJ40/'P&amp;L'!AJ$3,"n/m")</f>
        <v>7.2611347572965491E-3</v>
      </c>
      <c r="AK41" s="933">
        <f>IF('P&amp;L'!AK$3&gt;0,AK40/'P&amp;L'!AK$3,"n/m")</f>
        <v>5.9058408413670523E-3</v>
      </c>
      <c r="AL41" s="933">
        <f>IF('P&amp;L'!AL$3&gt;0,AL40/'P&amp;L'!AL$3,"n/m")</f>
        <v>5.6324593547161864E-3</v>
      </c>
      <c r="AM41" s="933">
        <f>IF('P&amp;L'!AM$3&gt;0,AM40/'P&amp;L'!AM$3,"n/m")</f>
        <v>5.9903264994292174E-3</v>
      </c>
      <c r="AN41" s="933">
        <f>IF('P&amp;L'!AN$3&gt;0,AN40/'P&amp;L'!AN$3,"n/m")</f>
        <v>6.5620467894065863E-3</v>
      </c>
      <c r="AO41" s="933">
        <f>IF('P&amp;L'!AO$3&gt;0,AO40/'P&amp;L'!AO$3,"n/m")</f>
        <v>7.3043429833880343E-3</v>
      </c>
    </row>
    <row r="42" spans="1:41" x14ac:dyDescent="0.2">
      <c r="A42" s="769"/>
      <c r="B42" s="772"/>
      <c r="C42" s="772"/>
      <c r="D42" s="772"/>
      <c r="E42" s="772"/>
      <c r="F42" s="772"/>
      <c r="G42" s="960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928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928"/>
      <c r="AH42" s="928"/>
      <c r="AI42" s="928"/>
      <c r="AJ42" s="928"/>
      <c r="AK42" s="928"/>
      <c r="AL42" s="928"/>
      <c r="AM42" s="928"/>
      <c r="AN42" s="928"/>
      <c r="AO42" s="928"/>
    </row>
    <row r="43" spans="1:41" x14ac:dyDescent="0.2">
      <c r="A43" s="774" t="s">
        <v>103</v>
      </c>
      <c r="B43" s="772"/>
      <c r="C43" s="778">
        <v>0</v>
      </c>
      <c r="D43" s="778">
        <v>0</v>
      </c>
      <c r="E43" s="778">
        <v>0</v>
      </c>
      <c r="F43" s="778">
        <v>0</v>
      </c>
      <c r="G43" s="950">
        <v>0</v>
      </c>
      <c r="H43" s="778">
        <f>40000/12</f>
        <v>3333.3333333333335</v>
      </c>
      <c r="I43" s="775">
        <f>H43</f>
        <v>3333.3333333333335</v>
      </c>
      <c r="J43" s="775">
        <f t="shared" ref="J43:S43" si="57">I43</f>
        <v>3333.3333333333335</v>
      </c>
      <c r="K43" s="775">
        <f t="shared" si="57"/>
        <v>3333.3333333333335</v>
      </c>
      <c r="L43" s="775">
        <f t="shared" si="57"/>
        <v>3333.3333333333335</v>
      </c>
      <c r="M43" s="775">
        <f t="shared" si="57"/>
        <v>3333.3333333333335</v>
      </c>
      <c r="N43" s="775">
        <f t="shared" si="57"/>
        <v>3333.3333333333335</v>
      </c>
      <c r="O43" s="775">
        <f t="shared" si="57"/>
        <v>3333.3333333333335</v>
      </c>
      <c r="P43" s="775">
        <f t="shared" si="57"/>
        <v>3333.3333333333335</v>
      </c>
      <c r="Q43" s="775">
        <f t="shared" si="57"/>
        <v>3333.3333333333335</v>
      </c>
      <c r="R43" s="775">
        <f t="shared" si="57"/>
        <v>3333.3333333333335</v>
      </c>
      <c r="S43" s="775">
        <f t="shared" si="57"/>
        <v>3333.3333333333335</v>
      </c>
      <c r="T43" s="755">
        <f>SUM(H43:S43)</f>
        <v>40000</v>
      </c>
      <c r="U43" s="775">
        <f t="shared" ref="U43:AF43" si="58">$AG43/12</f>
        <v>4375</v>
      </c>
      <c r="V43" s="775">
        <f t="shared" si="58"/>
        <v>4375</v>
      </c>
      <c r="W43" s="775">
        <f t="shared" si="58"/>
        <v>4375</v>
      </c>
      <c r="X43" s="775">
        <f t="shared" si="58"/>
        <v>4375</v>
      </c>
      <c r="Y43" s="775">
        <f t="shared" si="58"/>
        <v>4375</v>
      </c>
      <c r="Z43" s="775">
        <f t="shared" si="58"/>
        <v>4375</v>
      </c>
      <c r="AA43" s="775">
        <f t="shared" si="58"/>
        <v>4375</v>
      </c>
      <c r="AB43" s="775">
        <f t="shared" si="58"/>
        <v>4375</v>
      </c>
      <c r="AC43" s="775">
        <f t="shared" si="58"/>
        <v>4375</v>
      </c>
      <c r="AD43" s="775">
        <f t="shared" si="58"/>
        <v>4375</v>
      </c>
      <c r="AE43" s="775">
        <f t="shared" si="58"/>
        <v>4375</v>
      </c>
      <c r="AF43" s="775">
        <f t="shared" si="58"/>
        <v>4375</v>
      </c>
      <c r="AG43" s="950">
        <f>50000*1.05</f>
        <v>52500</v>
      </c>
      <c r="AH43" s="777">
        <f t="shared" ref="AH43:AO43" si="59">AG43*1.05</f>
        <v>55125</v>
      </c>
      <c r="AI43" s="777">
        <f t="shared" si="59"/>
        <v>57881.25</v>
      </c>
      <c r="AJ43" s="777">
        <f t="shared" si="59"/>
        <v>60775.3125</v>
      </c>
      <c r="AK43" s="777">
        <f t="shared" si="59"/>
        <v>63814.078125</v>
      </c>
      <c r="AL43" s="777">
        <f t="shared" si="59"/>
        <v>67004.782031249997</v>
      </c>
      <c r="AM43" s="777">
        <f t="shared" si="59"/>
        <v>70355.021132812501</v>
      </c>
      <c r="AN43" s="777">
        <f t="shared" si="59"/>
        <v>73872.772189453128</v>
      </c>
      <c r="AO43" s="777">
        <f t="shared" si="59"/>
        <v>77566.41079892579</v>
      </c>
    </row>
    <row r="44" spans="1:41" x14ac:dyDescent="0.2">
      <c r="A44" s="779" t="s">
        <v>269</v>
      </c>
      <c r="B44" s="772"/>
      <c r="C44" s="781" t="str">
        <f>IF('P&amp;L'!C$3&gt;0,C43/'P&amp;L'!C$3,"n/m")</f>
        <v>n/m</v>
      </c>
      <c r="D44" s="781" t="str">
        <f>IF('P&amp;L'!D$3&gt;0,D43/'P&amp;L'!D$3,"n/m")</f>
        <v>n/m</v>
      </c>
      <c r="E44" s="781" t="str">
        <f>IF('P&amp;L'!E$3&gt;0,E43/'P&amp;L'!E$3,"n/m")</f>
        <v>n/m</v>
      </c>
      <c r="F44" s="781" t="str">
        <f>IF('P&amp;L'!F$3&gt;0,F43/'P&amp;L'!F$3,"n/m")</f>
        <v>n/m</v>
      </c>
      <c r="G44" s="933" t="str">
        <f>IF('P&amp;L'!G$3&gt;0,G43/'P&amp;L'!G$3,"n/m")</f>
        <v>n/m</v>
      </c>
      <c r="H44" s="781" t="str">
        <f>IF('P&amp;L'!H$3&gt;0,#REF!/'P&amp;L'!H$3,"n/m")</f>
        <v>n/m</v>
      </c>
      <c r="I44" s="781" t="str">
        <f>IF('P&amp;L'!I$3&gt;0,I43/'P&amp;L'!I$3,"n/m")</f>
        <v>n/m</v>
      </c>
      <c r="J44" s="781" t="str">
        <f>IF('P&amp;L'!J$3&gt;0,J43/'P&amp;L'!J$3,"n/m")</f>
        <v>n/m</v>
      </c>
      <c r="K44" s="781" t="str">
        <f>IF('P&amp;L'!K$3&gt;0,K43/'P&amp;L'!K$3,"n/m")</f>
        <v>n/m</v>
      </c>
      <c r="L44" s="781" t="str">
        <f>IF('P&amp;L'!L$3&gt;0,L43/'P&amp;L'!L$3,"n/m")</f>
        <v>n/m</v>
      </c>
      <c r="M44" s="781" t="str">
        <f>IF('P&amp;L'!M$3&gt;0,M43/'P&amp;L'!M$3,"n/m")</f>
        <v>n/m</v>
      </c>
      <c r="N44" s="781" t="str">
        <f>IF('P&amp;L'!N$3&gt;0,H43/'P&amp;L'!N$3,"n/m")</f>
        <v>n/m</v>
      </c>
      <c r="O44" s="781" t="str">
        <f>IF('P&amp;L'!O$3&gt;0,O43/'P&amp;L'!O$3,"n/m")</f>
        <v>n/m</v>
      </c>
      <c r="P44" s="781" t="str">
        <f>IF('P&amp;L'!P$3&gt;0,P43/'P&amp;L'!P$3,"n/m")</f>
        <v>n/m</v>
      </c>
      <c r="Q44" s="781" t="str">
        <f>IF('P&amp;L'!Q$3&gt;0,Q43/'P&amp;L'!Q$3,"n/m")</f>
        <v>n/m</v>
      </c>
      <c r="R44" s="781" t="str">
        <f>IF('P&amp;L'!R$3&gt;0,R43/'P&amp;L'!R$3,"n/m")</f>
        <v>n/m</v>
      </c>
      <c r="S44" s="781" t="str">
        <f>IF('P&amp;L'!S$3&gt;0,S43/'P&amp;L'!S$3,"n/m")</f>
        <v>n/m</v>
      </c>
      <c r="T44" s="933" t="str">
        <f>IF('P&amp;L'!T$3&gt;0,T43/'P&amp;L'!T$3,"n/m")</f>
        <v>n/m</v>
      </c>
      <c r="U44" s="781" t="str">
        <f>IF('P&amp;L'!U$3&gt;0,U43/'P&amp;L'!U$3,"n/m")</f>
        <v>n/m</v>
      </c>
      <c r="V44" s="781" t="str">
        <f>IF('P&amp;L'!V$3&gt;0,V43/'P&amp;L'!V$3,"n/m")</f>
        <v>n/m</v>
      </c>
      <c r="W44" s="781">
        <f>IF('P&amp;L'!W$3&gt;0,W43/'P&amp;L'!W$3,"n/m")</f>
        <v>7.5634792004321974E-3</v>
      </c>
      <c r="X44" s="781">
        <f>IF('P&amp;L'!X$3&gt;0,X43/'P&amp;L'!X$3,"n/m")</f>
        <v>6.18921308576481E-3</v>
      </c>
      <c r="Y44" s="781">
        <f>IF('P&amp;L'!Y$3&gt;0,Y43/'P&amp;L'!Y$3,"n/m")</f>
        <v>5.3333333333333332E-3</v>
      </c>
      <c r="Z44" s="781">
        <f>IF('P&amp;L'!Z$3&gt;0,Z43/'P&amp;L'!Z$3,"n/m")</f>
        <v>4.7619047619047623E-3</v>
      </c>
      <c r="AA44" s="781">
        <f>IF('P&amp;L'!AA$3&gt;0,AA43/'P&amp;L'!AA$3,"n/m")</f>
        <v>4.3010752688172043E-3</v>
      </c>
      <c r="AB44" s="781">
        <f>IF('P&amp;L'!AB$3&gt;0,AB43/'P&amp;L'!AB$3,"n/m")</f>
        <v>3.9215686274509803E-3</v>
      </c>
      <c r="AC44" s="781">
        <f>IF('P&amp;L'!AC$3&gt;0,AC43/'P&amp;L'!AC$3,"n/m")</f>
        <v>3.6036036036036037E-3</v>
      </c>
      <c r="AD44" s="781">
        <f>IF('P&amp;L'!AD$3&gt;0,AD43/'P&amp;L'!AD$3,"n/m")</f>
        <v>3.3333333333333335E-3</v>
      </c>
      <c r="AE44" s="781">
        <f>IF('P&amp;L'!AE$3&gt;0,AE43/'P&amp;L'!AE$3,"n/m")</f>
        <v>3.1007751937984496E-3</v>
      </c>
      <c r="AF44" s="781">
        <f>IF('P&amp;L'!AF$3&gt;0,AF43/'P&amp;L'!AF$3,"n/m")</f>
        <v>2.8985507246376812E-3</v>
      </c>
      <c r="AG44" s="933">
        <f>IF('P&amp;L'!AG$3&gt;0,AG43/'P&amp;L'!AG$3,"n/m")</f>
        <v>4.9509327203607111E-3</v>
      </c>
      <c r="AH44" s="933">
        <f>IF('P&amp;L'!AH$3&gt;0,AH43/'P&amp;L'!AH$3,"n/m")</f>
        <v>1.7048943806333278E-3</v>
      </c>
      <c r="AI44" s="933">
        <f>IF('P&amp;L'!AI$3&gt;0,AI43/'P&amp;L'!AI$3,"n/m")</f>
        <v>9.3759247700570523E-4</v>
      </c>
      <c r="AJ44" s="933">
        <f>IF('P&amp;L'!AJ$3&gt;0,AJ43/'P&amp;L'!AJ$3,"n/m")</f>
        <v>5.8113281840896716E-4</v>
      </c>
      <c r="AK44" s="933">
        <f>IF('P&amp;L'!AK$3&gt;0,AK43/'P&amp;L'!AK$3,"n/m")</f>
        <v>3.970378680834242E-4</v>
      </c>
      <c r="AL44" s="933">
        <f>IF('P&amp;L'!AL$3&gt;0,AL43/'P&amp;L'!AL$3,"n/m")</f>
        <v>3.1807354109904219E-4</v>
      </c>
      <c r="AM44" s="933">
        <f>IF('P&amp;L'!AM$3&gt;0,AM43/'P&amp;L'!AM$3,"n/m")</f>
        <v>2.8415758788399951E-4</v>
      </c>
      <c r="AN44" s="933">
        <f>IF('P&amp;L'!AN$3&gt;0,AN43/'P&amp;L'!AN$3,"n/m")</f>
        <v>2.6147331459268678E-4</v>
      </c>
      <c r="AO44" s="933">
        <f>IF('P&amp;L'!AO$3&gt;0,AO43/'P&amp;L'!AO$3,"n/m")</f>
        <v>2.4448290281198296E-4</v>
      </c>
    </row>
    <row r="45" spans="1:41" x14ac:dyDescent="0.2">
      <c r="A45" s="769"/>
      <c r="B45" s="772"/>
      <c r="C45" s="772"/>
      <c r="D45" s="772"/>
      <c r="E45" s="772"/>
      <c r="F45" s="772"/>
      <c r="G45" s="960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928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3"/>
      <c r="AG45" s="928"/>
      <c r="AH45" s="928"/>
      <c r="AI45" s="928"/>
      <c r="AJ45" s="928"/>
      <c r="AK45" s="928"/>
      <c r="AL45" s="928"/>
      <c r="AM45" s="928"/>
      <c r="AN45" s="928"/>
      <c r="AO45" s="928"/>
    </row>
    <row r="46" spans="1:41" x14ac:dyDescent="0.2">
      <c r="A46" s="774" t="s">
        <v>148</v>
      </c>
      <c r="B46" s="772"/>
      <c r="C46" s="778">
        <v>0</v>
      </c>
      <c r="D46" s="778">
        <v>0</v>
      </c>
      <c r="E46" s="778">
        <v>0</v>
      </c>
      <c r="F46" s="778">
        <v>0</v>
      </c>
      <c r="G46" s="950">
        <v>0</v>
      </c>
      <c r="H46" s="778">
        <f t="shared" ref="H46" si="60">12000/12</f>
        <v>1000</v>
      </c>
      <c r="I46" s="775">
        <f>H46</f>
        <v>1000</v>
      </c>
      <c r="J46" s="775">
        <f t="shared" ref="J46:S46" si="61">I46</f>
        <v>1000</v>
      </c>
      <c r="K46" s="775">
        <f t="shared" si="61"/>
        <v>1000</v>
      </c>
      <c r="L46" s="775">
        <f t="shared" si="61"/>
        <v>1000</v>
      </c>
      <c r="M46" s="775">
        <f t="shared" si="61"/>
        <v>1000</v>
      </c>
      <c r="N46" s="775">
        <f t="shared" si="61"/>
        <v>1000</v>
      </c>
      <c r="O46" s="775">
        <f t="shared" si="61"/>
        <v>1000</v>
      </c>
      <c r="P46" s="775">
        <f t="shared" si="61"/>
        <v>1000</v>
      </c>
      <c r="Q46" s="775">
        <f t="shared" si="61"/>
        <v>1000</v>
      </c>
      <c r="R46" s="775">
        <f t="shared" si="61"/>
        <v>1000</v>
      </c>
      <c r="S46" s="775">
        <f t="shared" si="61"/>
        <v>1000</v>
      </c>
      <c r="T46" s="755">
        <f>SUM(H46:S46)</f>
        <v>12000</v>
      </c>
      <c r="U46" s="775">
        <f t="shared" ref="U46:AF46" si="62">$AG46/12</f>
        <v>1250</v>
      </c>
      <c r="V46" s="775">
        <f t="shared" si="62"/>
        <v>1250</v>
      </c>
      <c r="W46" s="775">
        <f t="shared" si="62"/>
        <v>1250</v>
      </c>
      <c r="X46" s="775">
        <f t="shared" si="62"/>
        <v>1250</v>
      </c>
      <c r="Y46" s="775">
        <f t="shared" si="62"/>
        <v>1250</v>
      </c>
      <c r="Z46" s="775">
        <f t="shared" si="62"/>
        <v>1250</v>
      </c>
      <c r="AA46" s="775">
        <f t="shared" si="62"/>
        <v>1250</v>
      </c>
      <c r="AB46" s="775">
        <f t="shared" si="62"/>
        <v>1250</v>
      </c>
      <c r="AC46" s="775">
        <f t="shared" si="62"/>
        <v>1250</v>
      </c>
      <c r="AD46" s="775">
        <f t="shared" si="62"/>
        <v>1250</v>
      </c>
      <c r="AE46" s="775">
        <f t="shared" si="62"/>
        <v>1250</v>
      </c>
      <c r="AF46" s="775">
        <f t="shared" si="62"/>
        <v>1250</v>
      </c>
      <c r="AG46" s="950">
        <f>12000*1.25</f>
        <v>15000</v>
      </c>
      <c r="AH46" s="777">
        <f t="shared" ref="AH46:AO46" si="63">AG46*1.1</f>
        <v>16500</v>
      </c>
      <c r="AI46" s="777">
        <f t="shared" si="63"/>
        <v>18150</v>
      </c>
      <c r="AJ46" s="777">
        <f t="shared" si="63"/>
        <v>19965</v>
      </c>
      <c r="AK46" s="777">
        <f t="shared" si="63"/>
        <v>21961.5</v>
      </c>
      <c r="AL46" s="777">
        <f t="shared" si="63"/>
        <v>24157.65</v>
      </c>
      <c r="AM46" s="777">
        <f t="shared" si="63"/>
        <v>26573.415000000005</v>
      </c>
      <c r="AN46" s="777">
        <f t="shared" si="63"/>
        <v>29230.756500000007</v>
      </c>
      <c r="AO46" s="777">
        <f t="shared" si="63"/>
        <v>32153.832150000009</v>
      </c>
    </row>
    <row r="47" spans="1:41" x14ac:dyDescent="0.2">
      <c r="A47" s="779" t="s">
        <v>269</v>
      </c>
      <c r="B47" s="772"/>
      <c r="C47" s="781" t="str">
        <f>IF('P&amp;L'!C$3&gt;0,C46/'P&amp;L'!C$3,"n/m")</f>
        <v>n/m</v>
      </c>
      <c r="D47" s="781" t="str">
        <f>IF('P&amp;L'!D$3&gt;0,D46/'P&amp;L'!D$3,"n/m")</f>
        <v>n/m</v>
      </c>
      <c r="E47" s="781" t="str">
        <f>IF('P&amp;L'!E$3&gt;0,E46/'P&amp;L'!E$3,"n/m")</f>
        <v>n/m</v>
      </c>
      <c r="F47" s="781" t="str">
        <f>IF('P&amp;L'!F$3&gt;0,F46/'P&amp;L'!F$3,"n/m")</f>
        <v>n/m</v>
      </c>
      <c r="G47" s="933" t="str">
        <f>IF('P&amp;L'!G$3&gt;0,G46/'P&amp;L'!G$3,"n/m")</f>
        <v>n/m</v>
      </c>
      <c r="H47" s="781" t="str">
        <f>IF('P&amp;L'!H$3&gt;0,H46/'P&amp;L'!H$3,"n/m")</f>
        <v>n/m</v>
      </c>
      <c r="I47" s="781" t="str">
        <f>IF('P&amp;L'!I$3&gt;0,I46/'P&amp;L'!I$3,"n/m")</f>
        <v>n/m</v>
      </c>
      <c r="J47" s="781" t="str">
        <f>IF('P&amp;L'!J$3&gt;0,J46/'P&amp;L'!J$3,"n/m")</f>
        <v>n/m</v>
      </c>
      <c r="K47" s="781" t="str">
        <f>IF('P&amp;L'!K$3&gt;0,K46/'P&amp;L'!K$3,"n/m")</f>
        <v>n/m</v>
      </c>
      <c r="L47" s="781" t="str">
        <f>IF('P&amp;L'!L$3&gt;0,L46/'P&amp;L'!L$3,"n/m")</f>
        <v>n/m</v>
      </c>
      <c r="M47" s="781" t="str">
        <f>IF('P&amp;L'!M$3&gt;0,M46/'P&amp;L'!M$3,"n/m")</f>
        <v>n/m</v>
      </c>
      <c r="N47" s="781" t="str">
        <f>IF('P&amp;L'!N$3&gt;0,N46/'P&amp;L'!N$3,"n/m")</f>
        <v>n/m</v>
      </c>
      <c r="O47" s="781" t="str">
        <f>IF('P&amp;L'!O$3&gt;0,O46/'P&amp;L'!O$3,"n/m")</f>
        <v>n/m</v>
      </c>
      <c r="P47" s="781" t="str">
        <f>IF('P&amp;L'!P$3&gt;0,P46/'P&amp;L'!P$3,"n/m")</f>
        <v>n/m</v>
      </c>
      <c r="Q47" s="781" t="str">
        <f>IF('P&amp;L'!Q$3&gt;0,Q46/'P&amp;L'!Q$3,"n/m")</f>
        <v>n/m</v>
      </c>
      <c r="R47" s="781" t="str">
        <f>IF('P&amp;L'!R$3&gt;0,R46/'P&amp;L'!R$3,"n/m")</f>
        <v>n/m</v>
      </c>
      <c r="S47" s="781" t="str">
        <f>IF('P&amp;L'!S$3&gt;0,S46/'P&amp;L'!S$3,"n/m")</f>
        <v>n/m</v>
      </c>
      <c r="T47" s="933" t="str">
        <f>IF('P&amp;L'!T$3&gt;0,T46/'P&amp;L'!T$3,"n/m")</f>
        <v>n/m</v>
      </c>
      <c r="U47" s="781" t="str">
        <f>IF('P&amp;L'!U$3&gt;0,U46/'P&amp;L'!U$3,"n/m")</f>
        <v>n/m</v>
      </c>
      <c r="V47" s="781" t="str">
        <f>IF('P&amp;L'!V$3&gt;0,V46/'P&amp;L'!V$3,"n/m")</f>
        <v>n/m</v>
      </c>
      <c r="W47" s="781">
        <f>IF('P&amp;L'!W$3&gt;0,W46/'P&amp;L'!W$3,"n/m")</f>
        <v>2.1609940572663421E-3</v>
      </c>
      <c r="X47" s="781">
        <f>IF('P&amp;L'!X$3&gt;0,X46/'P&amp;L'!X$3,"n/m")</f>
        <v>1.7683465959328027E-3</v>
      </c>
      <c r="Y47" s="781">
        <f>IF('P&amp;L'!Y$3&gt;0,Y46/'P&amp;L'!Y$3,"n/m")</f>
        <v>1.5238095238095239E-3</v>
      </c>
      <c r="Z47" s="781">
        <f>IF('P&amp;L'!Z$3&gt;0,Z46/'P&amp;L'!Z$3,"n/m")</f>
        <v>1.3605442176870747E-3</v>
      </c>
      <c r="AA47" s="781">
        <f>IF('P&amp;L'!AA$3&gt;0,AA46/'P&amp;L'!AA$3,"n/m")</f>
        <v>1.2288786482334869E-3</v>
      </c>
      <c r="AB47" s="781">
        <f>IF('P&amp;L'!AB$3&gt;0,AB46/'P&amp;L'!AB$3,"n/m")</f>
        <v>1.1204481792717086E-3</v>
      </c>
      <c r="AC47" s="781">
        <f>IF('P&amp;L'!AC$3&gt;0,AC46/'P&amp;L'!AC$3,"n/m")</f>
        <v>1.0296010296010295E-3</v>
      </c>
      <c r="AD47" s="781">
        <f>IF('P&amp;L'!AD$3&gt;0,AD46/'P&amp;L'!AD$3,"n/m")</f>
        <v>9.5238095238095238E-4</v>
      </c>
      <c r="AE47" s="781">
        <f>IF('P&amp;L'!AE$3&gt;0,AE46/'P&amp;L'!AE$3,"n/m")</f>
        <v>8.8593576965669994E-4</v>
      </c>
      <c r="AF47" s="781">
        <f>IF('P&amp;L'!AF$3&gt;0,AF46/'P&amp;L'!AF$3,"n/m")</f>
        <v>8.2815734989648033E-4</v>
      </c>
      <c r="AG47" s="933">
        <f>IF('P&amp;L'!AG$3&gt;0,AG46/'P&amp;L'!AG$3,"n/m")</f>
        <v>1.4145522058173459E-3</v>
      </c>
      <c r="AH47" s="933">
        <f>IF('P&amp;L'!AH$3&gt;0,AH46/'P&amp;L'!AH$3,"n/m")</f>
        <v>5.1030852209432947E-4</v>
      </c>
      <c r="AI47" s="933">
        <f>IF('P&amp;L'!AI$3&gt;0,AI46/'P&amp;L'!AI$3,"n/m")</f>
        <v>2.9400373104681654E-4</v>
      </c>
      <c r="AJ47" s="933">
        <f>IF('P&amp;L'!AJ$3&gt;0,AJ46/'P&amp;L'!AJ$3,"n/m")</f>
        <v>1.9090509356961397E-4</v>
      </c>
      <c r="AK47" s="933">
        <f>IF('P&amp;L'!AK$3&gt;0,AK46/'P&amp;L'!AK$3,"n/m")</f>
        <v>1.3663986687755854E-4</v>
      </c>
      <c r="AL47" s="933">
        <f>IF('P&amp;L'!AL$3&gt;0,AL46/'P&amp;L'!AL$3,"n/m")</f>
        <v>1.146770282238605E-4</v>
      </c>
      <c r="AM47" s="933">
        <f>IF('P&amp;L'!AM$3&gt;0,AM46/'P&amp;L'!AM$3,"n/m")</f>
        <v>1.0732762760437583E-4</v>
      </c>
      <c r="AN47" s="933">
        <f>IF('P&amp;L'!AN$3&gt;0,AN46/'P&amp;L'!AN$3,"n/m")</f>
        <v>1.0346251485602068E-4</v>
      </c>
      <c r="AO47" s="933">
        <f>IF('P&amp;L'!AO$3&gt;0,AO46/'P&amp;L'!AO$3,"n/m")</f>
        <v>1.0134621596633336E-4</v>
      </c>
    </row>
    <row r="48" spans="1:41" x14ac:dyDescent="0.2">
      <c r="A48" s="769"/>
      <c r="B48" s="772"/>
      <c r="C48" s="772"/>
      <c r="D48" s="772"/>
      <c r="E48" s="772"/>
      <c r="F48" s="772"/>
      <c r="G48" s="960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928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73"/>
      <c r="AG48" s="928"/>
      <c r="AH48" s="928"/>
      <c r="AI48" s="928"/>
      <c r="AJ48" s="928"/>
      <c r="AK48" s="928"/>
      <c r="AL48" s="928"/>
      <c r="AM48" s="928"/>
      <c r="AN48" s="928"/>
      <c r="AO48" s="928"/>
    </row>
    <row r="49" spans="1:41" x14ac:dyDescent="0.2">
      <c r="A49" s="774" t="s">
        <v>240</v>
      </c>
      <c r="B49" s="772"/>
      <c r="C49" s="775">
        <f>$G49/4</f>
        <v>0</v>
      </c>
      <c r="D49" s="775">
        <f t="shared" ref="D49:F49" si="64">$G49/4</f>
        <v>0</v>
      </c>
      <c r="E49" s="775">
        <f t="shared" si="64"/>
        <v>0</v>
      </c>
      <c r="F49" s="775">
        <f t="shared" si="64"/>
        <v>0</v>
      </c>
      <c r="G49" s="950">
        <v>0</v>
      </c>
      <c r="H49" s="775">
        <f t="shared" ref="H49:S49" si="65">$T49/12</f>
        <v>666.66666666666663</v>
      </c>
      <c r="I49" s="775">
        <f t="shared" si="65"/>
        <v>666.66666666666663</v>
      </c>
      <c r="J49" s="775">
        <f t="shared" si="65"/>
        <v>666.66666666666663</v>
      </c>
      <c r="K49" s="775">
        <f t="shared" si="65"/>
        <v>666.66666666666663</v>
      </c>
      <c r="L49" s="775">
        <f t="shared" si="65"/>
        <v>666.66666666666663</v>
      </c>
      <c r="M49" s="775">
        <f t="shared" si="65"/>
        <v>666.66666666666663</v>
      </c>
      <c r="N49" s="775">
        <f t="shared" si="65"/>
        <v>666.66666666666663</v>
      </c>
      <c r="O49" s="775">
        <f t="shared" si="65"/>
        <v>666.66666666666663</v>
      </c>
      <c r="P49" s="775">
        <f t="shared" si="65"/>
        <v>666.66666666666663</v>
      </c>
      <c r="Q49" s="775">
        <f t="shared" si="65"/>
        <v>666.66666666666663</v>
      </c>
      <c r="R49" s="775">
        <f t="shared" si="65"/>
        <v>666.66666666666663</v>
      </c>
      <c r="S49" s="775">
        <f t="shared" si="65"/>
        <v>666.66666666666663</v>
      </c>
      <c r="T49" s="776">
        <v>8000</v>
      </c>
      <c r="U49" s="775">
        <f t="shared" ref="U49:AF49" si="66">$AG49/12</f>
        <v>833.33333333333337</v>
      </c>
      <c r="V49" s="775">
        <f t="shared" si="66"/>
        <v>833.33333333333337</v>
      </c>
      <c r="W49" s="775">
        <f t="shared" si="66"/>
        <v>833.33333333333337</v>
      </c>
      <c r="X49" s="775">
        <f t="shared" si="66"/>
        <v>833.33333333333337</v>
      </c>
      <c r="Y49" s="775">
        <f t="shared" si="66"/>
        <v>833.33333333333337</v>
      </c>
      <c r="Z49" s="775">
        <f t="shared" si="66"/>
        <v>833.33333333333337</v>
      </c>
      <c r="AA49" s="775">
        <f t="shared" si="66"/>
        <v>833.33333333333337</v>
      </c>
      <c r="AB49" s="775">
        <f t="shared" si="66"/>
        <v>833.33333333333337</v>
      </c>
      <c r="AC49" s="775">
        <f t="shared" si="66"/>
        <v>833.33333333333337</v>
      </c>
      <c r="AD49" s="775">
        <f t="shared" si="66"/>
        <v>833.33333333333337</v>
      </c>
      <c r="AE49" s="775">
        <f t="shared" si="66"/>
        <v>833.33333333333337</v>
      </c>
      <c r="AF49" s="775">
        <f t="shared" si="66"/>
        <v>833.33333333333337</v>
      </c>
      <c r="AG49" s="950">
        <f>T49*1.25</f>
        <v>10000</v>
      </c>
      <c r="AH49" s="777">
        <f t="shared" ref="AH49:AO49" si="67">AG49*1.1</f>
        <v>11000</v>
      </c>
      <c r="AI49" s="777">
        <f t="shared" si="67"/>
        <v>12100.000000000002</v>
      </c>
      <c r="AJ49" s="777">
        <f t="shared" si="67"/>
        <v>13310.000000000004</v>
      </c>
      <c r="AK49" s="777">
        <f t="shared" si="67"/>
        <v>14641.000000000005</v>
      </c>
      <c r="AL49" s="777">
        <f t="shared" si="67"/>
        <v>16105.100000000008</v>
      </c>
      <c r="AM49" s="777">
        <f t="shared" si="67"/>
        <v>17715.610000000011</v>
      </c>
      <c r="AN49" s="777">
        <f t="shared" si="67"/>
        <v>19487.171000000013</v>
      </c>
      <c r="AO49" s="777">
        <f t="shared" si="67"/>
        <v>21435.888100000015</v>
      </c>
    </row>
    <row r="50" spans="1:41" x14ac:dyDescent="0.2">
      <c r="A50" s="779" t="s">
        <v>269</v>
      </c>
      <c r="B50" s="772"/>
      <c r="C50" s="781" t="str">
        <f>IF('P&amp;L'!C$3&gt;0,C49/'P&amp;L'!C$3,"n/m")</f>
        <v>n/m</v>
      </c>
      <c r="D50" s="781" t="str">
        <f>IF('P&amp;L'!D$3&gt;0,D49/'P&amp;L'!D$3,"n/m")</f>
        <v>n/m</v>
      </c>
      <c r="E50" s="781" t="str">
        <f>IF('P&amp;L'!E$3&gt;0,E49/'P&amp;L'!E$3,"n/m")</f>
        <v>n/m</v>
      </c>
      <c r="F50" s="781" t="str">
        <f>IF('P&amp;L'!F$3&gt;0,F49/'P&amp;L'!F$3,"n/m")</f>
        <v>n/m</v>
      </c>
      <c r="G50" s="933" t="str">
        <f>IF('P&amp;L'!G$3&gt;0,G49/'P&amp;L'!G$3,"n/m")</f>
        <v>n/m</v>
      </c>
      <c r="H50" s="781" t="str">
        <f>IF('P&amp;L'!H$3&gt;0,H49/'P&amp;L'!H$3,"n/m")</f>
        <v>n/m</v>
      </c>
      <c r="I50" s="781" t="str">
        <f>IF('P&amp;L'!I$3&gt;0,I49/'P&amp;L'!I$3,"n/m")</f>
        <v>n/m</v>
      </c>
      <c r="J50" s="781" t="str">
        <f>IF('P&amp;L'!J$3&gt;0,J49/'P&amp;L'!J$3,"n/m")</f>
        <v>n/m</v>
      </c>
      <c r="K50" s="781" t="str">
        <f>IF('P&amp;L'!K$3&gt;0,K49/'P&amp;L'!K$3,"n/m")</f>
        <v>n/m</v>
      </c>
      <c r="L50" s="781" t="str">
        <f>IF('P&amp;L'!L$3&gt;0,L49/'P&amp;L'!L$3,"n/m")</f>
        <v>n/m</v>
      </c>
      <c r="M50" s="781" t="str">
        <f>IF('P&amp;L'!M$3&gt;0,M49/'P&amp;L'!M$3,"n/m")</f>
        <v>n/m</v>
      </c>
      <c r="N50" s="781" t="str">
        <f>IF('P&amp;L'!N$3&gt;0,N49/'P&amp;L'!N$3,"n/m")</f>
        <v>n/m</v>
      </c>
      <c r="O50" s="781" t="str">
        <f>IF('P&amp;L'!O$3&gt;0,O49/'P&amp;L'!O$3,"n/m")</f>
        <v>n/m</v>
      </c>
      <c r="P50" s="781" t="str">
        <f>IF('P&amp;L'!P$3&gt;0,P49/'P&amp;L'!P$3,"n/m")</f>
        <v>n/m</v>
      </c>
      <c r="Q50" s="781" t="str">
        <f>IF('P&amp;L'!Q$3&gt;0,Q49/'P&amp;L'!Q$3,"n/m")</f>
        <v>n/m</v>
      </c>
      <c r="R50" s="781" t="str">
        <f>IF('P&amp;L'!R$3&gt;0,R49/'P&amp;L'!R$3,"n/m")</f>
        <v>n/m</v>
      </c>
      <c r="S50" s="781" t="str">
        <f>IF('P&amp;L'!S$3&gt;0,S49/'P&amp;L'!S$3,"n/m")</f>
        <v>n/m</v>
      </c>
      <c r="T50" s="933" t="str">
        <f>IF('P&amp;L'!T$3&gt;0,T49/'P&amp;L'!T$3,"n/m")</f>
        <v>n/m</v>
      </c>
      <c r="U50" s="781" t="str">
        <f>IF('P&amp;L'!U$3&gt;0,U49/'P&amp;L'!U$3,"n/m")</f>
        <v>n/m</v>
      </c>
      <c r="V50" s="781" t="str">
        <f>IF('P&amp;L'!V$3&gt;0,V49/'P&amp;L'!V$3,"n/m")</f>
        <v>n/m</v>
      </c>
      <c r="W50" s="781">
        <f>IF('P&amp;L'!W$3&gt;0,W49/'P&amp;L'!W$3,"n/m")</f>
        <v>1.4406627048442282E-3</v>
      </c>
      <c r="X50" s="781">
        <f>IF('P&amp;L'!X$3&gt;0,X49/'P&amp;L'!X$3,"n/m")</f>
        <v>1.1788977306218687E-3</v>
      </c>
      <c r="Y50" s="781">
        <f>IF('P&amp;L'!Y$3&gt;0,Y49/'P&amp;L'!Y$3,"n/m")</f>
        <v>1.0158730158730158E-3</v>
      </c>
      <c r="Z50" s="781">
        <f>IF('P&amp;L'!Z$3&gt;0,Z49/'P&amp;L'!Z$3,"n/m")</f>
        <v>9.0702947845804993E-4</v>
      </c>
      <c r="AA50" s="781">
        <f>IF('P&amp;L'!AA$3&gt;0,AA49/'P&amp;L'!AA$3,"n/m")</f>
        <v>8.1925243215565796E-4</v>
      </c>
      <c r="AB50" s="781">
        <f>IF('P&amp;L'!AB$3&gt;0,AB49/'P&amp;L'!AB$3,"n/m")</f>
        <v>7.4696545284780585E-4</v>
      </c>
      <c r="AC50" s="781">
        <f>IF('P&amp;L'!AC$3&gt;0,AC49/'P&amp;L'!AC$3,"n/m")</f>
        <v>6.8640068640068639E-4</v>
      </c>
      <c r="AD50" s="781">
        <f>IF('P&amp;L'!AD$3&gt;0,AD49/'P&amp;L'!AD$3,"n/m")</f>
        <v>6.3492063492063492E-4</v>
      </c>
      <c r="AE50" s="781">
        <f>IF('P&amp;L'!AE$3&gt;0,AE49/'P&amp;L'!AE$3,"n/m")</f>
        <v>5.9062384643779992E-4</v>
      </c>
      <c r="AF50" s="781">
        <f>IF('P&amp;L'!AF$3&gt;0,AF49/'P&amp;L'!AF$3,"n/m")</f>
        <v>5.5210489993098692E-4</v>
      </c>
      <c r="AG50" s="933">
        <f>IF('P&amp;L'!AG$3&gt;0,AG49/'P&amp;L'!AG$3,"n/m")</f>
        <v>9.4303480387823062E-4</v>
      </c>
      <c r="AH50" s="933">
        <f>IF('P&amp;L'!AH$3&gt;0,AH49/'P&amp;L'!AH$3,"n/m")</f>
        <v>3.4020568139621961E-4</v>
      </c>
      <c r="AI50" s="933">
        <f>IF('P&amp;L'!AI$3&gt;0,AI49/'P&amp;L'!AI$3,"n/m")</f>
        <v>1.9600248736454439E-4</v>
      </c>
      <c r="AJ50" s="933">
        <f>IF('P&amp;L'!AJ$3&gt;0,AJ49/'P&amp;L'!AJ$3,"n/m")</f>
        <v>1.2727006237974267E-4</v>
      </c>
      <c r="AK50" s="933">
        <f>IF('P&amp;L'!AK$3&gt;0,AK49/'P&amp;L'!AK$3,"n/m")</f>
        <v>9.1093244585039061E-5</v>
      </c>
      <c r="AL50" s="933">
        <f>IF('P&amp;L'!AL$3&gt;0,AL49/'P&amp;L'!AL$3,"n/m")</f>
        <v>7.6451352149240368E-5</v>
      </c>
      <c r="AM50" s="933">
        <f>IF('P&amp;L'!AM$3&gt;0,AM49/'P&amp;L'!AM$3,"n/m")</f>
        <v>7.1551751736250593E-5</v>
      </c>
      <c r="AN50" s="933">
        <f>IF('P&amp;L'!AN$3&gt;0,AN49/'P&amp;L'!AN$3,"n/m")</f>
        <v>6.8975009904013817E-5</v>
      </c>
      <c r="AO50" s="933">
        <f>IF('P&amp;L'!AO$3&gt;0,AO49/'P&amp;L'!AO$3,"n/m")</f>
        <v>6.7564143977555605E-5</v>
      </c>
    </row>
    <row r="51" spans="1:41" x14ac:dyDescent="0.2">
      <c r="A51" s="779"/>
      <c r="B51" s="772"/>
      <c r="C51" s="772"/>
      <c r="D51" s="772"/>
      <c r="E51" s="772"/>
      <c r="F51" s="772"/>
      <c r="G51" s="960"/>
      <c r="H51" s="781"/>
      <c r="I51" s="781"/>
      <c r="J51" s="781"/>
      <c r="K51" s="781"/>
      <c r="L51" s="781"/>
      <c r="M51" s="781"/>
      <c r="N51" s="781"/>
      <c r="O51" s="781"/>
      <c r="P51" s="781"/>
      <c r="Q51" s="781"/>
      <c r="R51" s="781"/>
      <c r="S51" s="781"/>
      <c r="T51" s="933"/>
      <c r="U51" s="781"/>
      <c r="V51" s="781"/>
      <c r="W51" s="781"/>
      <c r="X51" s="781"/>
      <c r="Y51" s="781"/>
      <c r="Z51" s="781"/>
      <c r="AA51" s="781"/>
      <c r="AB51" s="781"/>
      <c r="AC51" s="781"/>
      <c r="AD51" s="781"/>
      <c r="AE51" s="781"/>
      <c r="AF51" s="781"/>
      <c r="AG51" s="933"/>
      <c r="AH51" s="933"/>
      <c r="AI51" s="933"/>
      <c r="AJ51" s="933"/>
      <c r="AK51" s="933"/>
      <c r="AL51" s="933"/>
      <c r="AM51" s="933"/>
      <c r="AN51" s="933"/>
      <c r="AO51" s="933"/>
    </row>
    <row r="52" spans="1:41" x14ac:dyDescent="0.2">
      <c r="A52" s="769"/>
      <c r="B52" s="772"/>
      <c r="C52" s="772"/>
      <c r="D52" s="772"/>
      <c r="E52" s="772"/>
      <c r="F52" s="772"/>
      <c r="G52" s="960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928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73"/>
      <c r="AF52" s="773"/>
      <c r="AG52" s="928"/>
      <c r="AH52" s="928"/>
      <c r="AI52" s="928"/>
      <c r="AJ52" s="928"/>
      <c r="AK52" s="928"/>
      <c r="AL52" s="928"/>
      <c r="AM52" s="928"/>
      <c r="AN52" s="928"/>
      <c r="AO52" s="928"/>
    </row>
    <row r="53" spans="1:41" x14ac:dyDescent="0.2">
      <c r="A53" s="774" t="s">
        <v>88</v>
      </c>
      <c r="B53" s="772"/>
      <c r="C53" s="772"/>
      <c r="D53" s="772"/>
      <c r="E53" s="772"/>
      <c r="F53" s="772"/>
      <c r="G53" s="960"/>
      <c r="H53" s="775"/>
      <c r="I53" s="775"/>
      <c r="J53" s="775"/>
      <c r="K53" s="775"/>
      <c r="L53" s="775"/>
      <c r="M53" s="775"/>
      <c r="N53" s="775"/>
      <c r="O53" s="775"/>
      <c r="P53" s="775"/>
      <c r="Q53" s="775"/>
      <c r="R53" s="775"/>
      <c r="S53" s="775"/>
      <c r="T53" s="796"/>
      <c r="U53" s="775"/>
      <c r="V53" s="775"/>
      <c r="W53" s="775"/>
      <c r="X53" s="775"/>
      <c r="Y53" s="775"/>
      <c r="Z53" s="775"/>
      <c r="AA53" s="775"/>
      <c r="AB53" s="775"/>
      <c r="AC53" s="775"/>
      <c r="AD53" s="775"/>
      <c r="AE53" s="775"/>
      <c r="AF53" s="775"/>
      <c r="AG53" s="950"/>
      <c r="AH53" s="777"/>
      <c r="AI53" s="777"/>
      <c r="AJ53" s="777"/>
      <c r="AK53" s="777"/>
      <c r="AL53" s="777"/>
      <c r="AM53" s="777"/>
      <c r="AN53" s="777"/>
      <c r="AO53" s="777"/>
    </row>
    <row r="54" spans="1:41" x14ac:dyDescent="0.2">
      <c r="A54" s="797" t="s">
        <v>375</v>
      </c>
      <c r="B54" s="15"/>
      <c r="C54" s="798">
        <v>0</v>
      </c>
      <c r="D54" s="798">
        <v>0</v>
      </c>
      <c r="E54" s="798">
        <v>0</v>
      </c>
      <c r="F54" s="798">
        <v>0</v>
      </c>
      <c r="G54" s="814">
        <f>SUM(C54:F54)</f>
        <v>0</v>
      </c>
      <c r="H54" s="798">
        <v>0</v>
      </c>
      <c r="I54" s="798">
        <v>0</v>
      </c>
      <c r="J54" s="798">
        <v>0</v>
      </c>
      <c r="K54" s="798">
        <v>0</v>
      </c>
      <c r="L54" s="798">
        <v>0</v>
      </c>
      <c r="M54" s="798">
        <v>0</v>
      </c>
      <c r="N54" s="798">
        <v>0</v>
      </c>
      <c r="O54" s="798">
        <v>0</v>
      </c>
      <c r="P54" s="798">
        <v>0</v>
      </c>
      <c r="Q54" s="798">
        <v>0</v>
      </c>
      <c r="R54" s="798">
        <v>0</v>
      </c>
      <c r="S54" s="798">
        <v>0</v>
      </c>
      <c r="T54" s="223">
        <f t="shared" ref="T54:T59" si="68">SUM(H54:S54)</f>
        <v>0</v>
      </c>
      <c r="U54" s="798">
        <v>0</v>
      </c>
      <c r="V54" s="798">
        <v>0</v>
      </c>
      <c r="W54" s="798">
        <v>0</v>
      </c>
      <c r="X54" s="798">
        <v>0</v>
      </c>
      <c r="Y54" s="798">
        <v>0</v>
      </c>
      <c r="Z54" s="798">
        <v>0</v>
      </c>
      <c r="AA54" s="798">
        <v>0</v>
      </c>
      <c r="AB54" s="798">
        <v>0</v>
      </c>
      <c r="AC54" s="798">
        <v>0</v>
      </c>
      <c r="AD54" s="798">
        <v>0</v>
      </c>
      <c r="AE54" s="798">
        <v>0</v>
      </c>
      <c r="AF54" s="798">
        <v>0</v>
      </c>
      <c r="AG54" s="223">
        <f t="shared" ref="AG54:AG59" si="69">SUM(U54:AF54)</f>
        <v>0</v>
      </c>
      <c r="AH54" s="934">
        <v>0</v>
      </c>
      <c r="AI54" s="934">
        <v>0</v>
      </c>
      <c r="AJ54" s="934">
        <v>0</v>
      </c>
      <c r="AK54" s="934">
        <v>0</v>
      </c>
      <c r="AL54" s="934">
        <v>0</v>
      </c>
      <c r="AM54" s="934">
        <v>0</v>
      </c>
      <c r="AN54" s="934">
        <v>0</v>
      </c>
      <c r="AO54" s="934">
        <v>0</v>
      </c>
    </row>
    <row r="55" spans="1:41" x14ac:dyDescent="0.2">
      <c r="A55" s="797" t="s">
        <v>493</v>
      </c>
      <c r="B55" s="15"/>
      <c r="C55" s="798">
        <v>0</v>
      </c>
      <c r="D55" s="798">
        <v>12000</v>
      </c>
      <c r="E55" s="798">
        <v>0</v>
      </c>
      <c r="F55" s="798">
        <v>0</v>
      </c>
      <c r="G55" s="814">
        <f>SUM(C55:F55)</f>
        <v>12000</v>
      </c>
      <c r="H55" s="798">
        <v>0</v>
      </c>
      <c r="I55" s="798">
        <v>0</v>
      </c>
      <c r="J55" s="798">
        <v>0</v>
      </c>
      <c r="K55" s="798">
        <v>0</v>
      </c>
      <c r="L55" s="798">
        <v>0</v>
      </c>
      <c r="M55" s="798">
        <v>0</v>
      </c>
      <c r="N55" s="798">
        <v>0</v>
      </c>
      <c r="O55" s="798">
        <v>0</v>
      </c>
      <c r="P55" s="798">
        <v>0</v>
      </c>
      <c r="Q55" s="798">
        <v>0</v>
      </c>
      <c r="R55" s="798">
        <v>0</v>
      </c>
      <c r="S55" s="798">
        <v>0</v>
      </c>
      <c r="T55" s="223">
        <f t="shared" si="68"/>
        <v>0</v>
      </c>
      <c r="U55" s="798">
        <v>0</v>
      </c>
      <c r="V55" s="798">
        <v>0</v>
      </c>
      <c r="W55" s="798">
        <v>0</v>
      </c>
      <c r="X55" s="798">
        <v>0</v>
      </c>
      <c r="Y55" s="798">
        <v>0</v>
      </c>
      <c r="Z55" s="798">
        <v>0</v>
      </c>
      <c r="AA55" s="798">
        <v>0</v>
      </c>
      <c r="AB55" s="798">
        <v>0</v>
      </c>
      <c r="AC55" s="798">
        <v>0</v>
      </c>
      <c r="AD55" s="798">
        <v>0</v>
      </c>
      <c r="AE55" s="798">
        <v>0</v>
      </c>
      <c r="AF55" s="798">
        <v>0</v>
      </c>
      <c r="AG55" s="223">
        <f t="shared" si="69"/>
        <v>0</v>
      </c>
      <c r="AH55" s="934">
        <v>0</v>
      </c>
      <c r="AI55" s="934">
        <v>0</v>
      </c>
      <c r="AJ55" s="934">
        <v>0</v>
      </c>
      <c r="AK55" s="934"/>
      <c r="AL55" s="934"/>
      <c r="AM55" s="934"/>
      <c r="AN55" s="934"/>
      <c r="AO55" s="934"/>
    </row>
    <row r="56" spans="1:41" x14ac:dyDescent="0.2">
      <c r="A56" s="797" t="s">
        <v>376</v>
      </c>
      <c r="B56" s="15"/>
      <c r="C56" s="798">
        <v>0</v>
      </c>
      <c r="D56" s="798">
        <v>0</v>
      </c>
      <c r="E56" s="798">
        <v>0</v>
      </c>
      <c r="F56" s="798">
        <v>0</v>
      </c>
      <c r="G56" s="814">
        <f t="shared" ref="G56:G59" si="70">SUM(C56:F56)</f>
        <v>0</v>
      </c>
      <c r="H56" s="798">
        <v>0</v>
      </c>
      <c r="I56" s="798">
        <v>0</v>
      </c>
      <c r="J56" s="798">
        <v>0</v>
      </c>
      <c r="K56" s="798">
        <v>0</v>
      </c>
      <c r="L56" s="798">
        <v>0</v>
      </c>
      <c r="M56" s="798">
        <v>0</v>
      </c>
      <c r="N56" s="798">
        <v>0</v>
      </c>
      <c r="O56" s="798">
        <v>0</v>
      </c>
      <c r="P56" s="798">
        <v>0</v>
      </c>
      <c r="Q56" s="798">
        <v>0</v>
      </c>
      <c r="R56" s="798">
        <v>0</v>
      </c>
      <c r="S56" s="798">
        <v>0</v>
      </c>
      <c r="T56" s="223">
        <f t="shared" si="68"/>
        <v>0</v>
      </c>
      <c r="U56" s="798">
        <v>0</v>
      </c>
      <c r="V56" s="798">
        <v>0</v>
      </c>
      <c r="W56" s="798">
        <v>0</v>
      </c>
      <c r="X56" s="798">
        <v>0</v>
      </c>
      <c r="Y56" s="798">
        <v>0</v>
      </c>
      <c r="Z56" s="798">
        <v>0</v>
      </c>
      <c r="AA56" s="798">
        <v>0</v>
      </c>
      <c r="AB56" s="798">
        <v>0</v>
      </c>
      <c r="AC56" s="798">
        <v>0</v>
      </c>
      <c r="AD56" s="798">
        <v>0</v>
      </c>
      <c r="AE56" s="798">
        <v>0</v>
      </c>
      <c r="AF56" s="798">
        <v>0</v>
      </c>
      <c r="AG56" s="223">
        <f t="shared" si="69"/>
        <v>0</v>
      </c>
      <c r="AH56" s="934">
        <v>0</v>
      </c>
      <c r="AI56" s="934">
        <v>0</v>
      </c>
      <c r="AJ56" s="934">
        <v>0</v>
      </c>
      <c r="AK56" s="934">
        <v>0</v>
      </c>
      <c r="AL56" s="934">
        <v>0</v>
      </c>
      <c r="AM56" s="934">
        <v>0</v>
      </c>
      <c r="AN56" s="934">
        <v>0</v>
      </c>
      <c r="AO56" s="934">
        <v>0</v>
      </c>
    </row>
    <row r="57" spans="1:41" x14ac:dyDescent="0.2">
      <c r="A57" s="797" t="s">
        <v>491</v>
      </c>
      <c r="B57" s="15"/>
      <c r="C57" s="798">
        <v>0</v>
      </c>
      <c r="D57" s="798">
        <v>2000</v>
      </c>
      <c r="E57" s="798">
        <v>0</v>
      </c>
      <c r="F57" s="798">
        <v>0</v>
      </c>
      <c r="G57" s="814">
        <f t="shared" si="70"/>
        <v>2000</v>
      </c>
      <c r="H57" s="798">
        <v>0</v>
      </c>
      <c r="I57" s="798">
        <v>0</v>
      </c>
      <c r="J57" s="798">
        <v>0</v>
      </c>
      <c r="K57" s="798">
        <v>0</v>
      </c>
      <c r="L57" s="798">
        <v>0</v>
      </c>
      <c r="M57" s="798">
        <v>0</v>
      </c>
      <c r="N57" s="798">
        <v>0</v>
      </c>
      <c r="O57" s="798">
        <v>0</v>
      </c>
      <c r="P57" s="798">
        <v>0</v>
      </c>
      <c r="Q57" s="798">
        <v>0</v>
      </c>
      <c r="R57" s="798">
        <v>0</v>
      </c>
      <c r="S57" s="798">
        <v>0</v>
      </c>
      <c r="T57" s="223">
        <f t="shared" si="68"/>
        <v>0</v>
      </c>
      <c r="U57" s="798">
        <v>0</v>
      </c>
      <c r="V57" s="798">
        <v>0</v>
      </c>
      <c r="W57" s="798">
        <v>0</v>
      </c>
      <c r="X57" s="798">
        <v>0</v>
      </c>
      <c r="Y57" s="798">
        <v>0</v>
      </c>
      <c r="Z57" s="798">
        <v>0</v>
      </c>
      <c r="AA57" s="798">
        <v>0</v>
      </c>
      <c r="AB57" s="798">
        <v>0</v>
      </c>
      <c r="AC57" s="798">
        <v>0</v>
      </c>
      <c r="AD57" s="798">
        <v>0</v>
      </c>
      <c r="AE57" s="798">
        <v>0</v>
      </c>
      <c r="AF57" s="798">
        <v>0</v>
      </c>
      <c r="AG57" s="223">
        <f t="shared" si="69"/>
        <v>0</v>
      </c>
      <c r="AH57" s="934">
        <v>0</v>
      </c>
      <c r="AI57" s="934">
        <v>0</v>
      </c>
      <c r="AJ57" s="934">
        <v>0</v>
      </c>
      <c r="AK57" s="934"/>
      <c r="AL57" s="934"/>
      <c r="AM57" s="934"/>
      <c r="AN57" s="934"/>
      <c r="AO57" s="934"/>
    </row>
    <row r="58" spans="1:41" x14ac:dyDescent="0.2">
      <c r="A58" s="797" t="s">
        <v>495</v>
      </c>
      <c r="B58" s="15"/>
      <c r="C58" s="798">
        <v>0</v>
      </c>
      <c r="D58" s="798">
        <v>12000</v>
      </c>
      <c r="E58" s="798">
        <v>0</v>
      </c>
      <c r="F58" s="798">
        <v>0</v>
      </c>
      <c r="G58" s="814">
        <f t="shared" si="70"/>
        <v>12000</v>
      </c>
      <c r="H58" s="798">
        <v>0</v>
      </c>
      <c r="I58" s="798">
        <v>0</v>
      </c>
      <c r="J58" s="798">
        <v>0</v>
      </c>
      <c r="K58" s="798">
        <v>0</v>
      </c>
      <c r="L58" s="798">
        <v>0</v>
      </c>
      <c r="M58" s="798">
        <v>0</v>
      </c>
      <c r="N58" s="798">
        <v>0</v>
      </c>
      <c r="O58" s="798">
        <v>0</v>
      </c>
      <c r="P58" s="798">
        <v>0</v>
      </c>
      <c r="Q58" s="798">
        <v>0</v>
      </c>
      <c r="R58" s="798">
        <v>0</v>
      </c>
      <c r="S58" s="798">
        <v>0</v>
      </c>
      <c r="T58" s="223">
        <f t="shared" si="68"/>
        <v>0</v>
      </c>
      <c r="U58" s="798">
        <v>0</v>
      </c>
      <c r="V58" s="798">
        <v>0</v>
      </c>
      <c r="W58" s="798">
        <v>0</v>
      </c>
      <c r="X58" s="798">
        <v>0</v>
      </c>
      <c r="Y58" s="798">
        <v>0</v>
      </c>
      <c r="Z58" s="798">
        <v>0</v>
      </c>
      <c r="AA58" s="798">
        <v>0</v>
      </c>
      <c r="AB58" s="798">
        <v>0</v>
      </c>
      <c r="AC58" s="798">
        <v>0</v>
      </c>
      <c r="AD58" s="798">
        <v>0</v>
      </c>
      <c r="AE58" s="798">
        <v>0</v>
      </c>
      <c r="AF58" s="798">
        <v>0</v>
      </c>
      <c r="AG58" s="223">
        <f t="shared" si="69"/>
        <v>0</v>
      </c>
      <c r="AH58" s="934">
        <v>0</v>
      </c>
      <c r="AI58" s="934">
        <v>0</v>
      </c>
      <c r="AJ58" s="934">
        <v>0</v>
      </c>
      <c r="AK58" s="934"/>
      <c r="AL58" s="934"/>
      <c r="AM58" s="934"/>
      <c r="AN58" s="934"/>
      <c r="AO58" s="934"/>
    </row>
    <row r="59" spans="1:41" x14ac:dyDescent="0.2">
      <c r="A59" s="797" t="s">
        <v>492</v>
      </c>
      <c r="B59" s="15"/>
      <c r="C59" s="798">
        <v>0</v>
      </c>
      <c r="D59" s="798">
        <v>0</v>
      </c>
      <c r="E59" s="798">
        <v>0</v>
      </c>
      <c r="F59" s="798">
        <v>0</v>
      </c>
      <c r="G59" s="814">
        <f t="shared" si="70"/>
        <v>0</v>
      </c>
      <c r="H59" s="798">
        <f>20000/4</f>
        <v>5000</v>
      </c>
      <c r="I59" s="798">
        <f t="shared" ref="I59:K59" si="71">20000/4</f>
        <v>5000</v>
      </c>
      <c r="J59" s="798">
        <f t="shared" si="71"/>
        <v>5000</v>
      </c>
      <c r="K59" s="798">
        <f t="shared" si="71"/>
        <v>5000</v>
      </c>
      <c r="L59" s="798">
        <v>0</v>
      </c>
      <c r="M59" s="798">
        <v>0</v>
      </c>
      <c r="N59" s="798">
        <v>0</v>
      </c>
      <c r="O59" s="798">
        <v>0</v>
      </c>
      <c r="P59" s="798">
        <v>0</v>
      </c>
      <c r="Q59" s="798">
        <v>0</v>
      </c>
      <c r="R59" s="798">
        <v>0</v>
      </c>
      <c r="S59" s="798">
        <v>0</v>
      </c>
      <c r="T59" s="223">
        <f t="shared" si="68"/>
        <v>20000</v>
      </c>
      <c r="U59" s="798">
        <v>0</v>
      </c>
      <c r="V59" s="798">
        <v>0</v>
      </c>
      <c r="W59" s="798">
        <v>0</v>
      </c>
      <c r="X59" s="798">
        <v>0</v>
      </c>
      <c r="Y59" s="798">
        <v>0</v>
      </c>
      <c r="Z59" s="798">
        <v>0</v>
      </c>
      <c r="AA59" s="798">
        <v>0</v>
      </c>
      <c r="AB59" s="798">
        <v>0</v>
      </c>
      <c r="AC59" s="798">
        <v>0</v>
      </c>
      <c r="AD59" s="798">
        <v>0</v>
      </c>
      <c r="AE59" s="798">
        <v>0</v>
      </c>
      <c r="AF59" s="798">
        <v>0</v>
      </c>
      <c r="AG59" s="223">
        <f t="shared" si="69"/>
        <v>0</v>
      </c>
      <c r="AH59" s="934">
        <v>0</v>
      </c>
      <c r="AI59" s="934">
        <v>0</v>
      </c>
      <c r="AJ59" s="934">
        <v>0</v>
      </c>
      <c r="AK59" s="934"/>
      <c r="AL59" s="934"/>
      <c r="AM59" s="934"/>
      <c r="AN59" s="934"/>
      <c r="AO59" s="934"/>
    </row>
    <row r="60" spans="1:41" s="20" customFormat="1" x14ac:dyDescent="0.2">
      <c r="A60" s="869" t="s">
        <v>494</v>
      </c>
      <c r="B60" s="870"/>
      <c r="C60" s="801">
        <f>SUM(C54:C59)</f>
        <v>0</v>
      </c>
      <c r="D60" s="801">
        <f t="shared" ref="D60:F60" si="72">SUM(D54:D59)</f>
        <v>26000</v>
      </c>
      <c r="E60" s="801">
        <f t="shared" si="72"/>
        <v>0</v>
      </c>
      <c r="F60" s="801">
        <f t="shared" si="72"/>
        <v>0</v>
      </c>
      <c r="G60" s="936">
        <f>SUM(G54:G59)</f>
        <v>26000</v>
      </c>
      <c r="H60" s="801">
        <f>SUM(H54:H59)</f>
        <v>5000</v>
      </c>
      <c r="I60" s="801">
        <f t="shared" ref="I60:AJ60" si="73">SUM(I54:I59)</f>
        <v>5000</v>
      </c>
      <c r="J60" s="801">
        <f t="shared" si="73"/>
        <v>5000</v>
      </c>
      <c r="K60" s="801">
        <f t="shared" si="73"/>
        <v>5000</v>
      </c>
      <c r="L60" s="801">
        <f t="shared" si="73"/>
        <v>0</v>
      </c>
      <c r="M60" s="801">
        <f t="shared" si="73"/>
        <v>0</v>
      </c>
      <c r="N60" s="801">
        <f t="shared" si="73"/>
        <v>0</v>
      </c>
      <c r="O60" s="801">
        <f t="shared" si="73"/>
        <v>0</v>
      </c>
      <c r="P60" s="801">
        <f t="shared" si="73"/>
        <v>0</v>
      </c>
      <c r="Q60" s="801">
        <f t="shared" si="73"/>
        <v>0</v>
      </c>
      <c r="R60" s="801">
        <f t="shared" si="73"/>
        <v>0</v>
      </c>
      <c r="S60" s="801">
        <f t="shared" si="73"/>
        <v>0</v>
      </c>
      <c r="T60" s="936">
        <f t="shared" si="73"/>
        <v>20000</v>
      </c>
      <c r="U60" s="801">
        <f t="shared" si="73"/>
        <v>0</v>
      </c>
      <c r="V60" s="801">
        <f t="shared" si="73"/>
        <v>0</v>
      </c>
      <c r="W60" s="801">
        <f t="shared" si="73"/>
        <v>0</v>
      </c>
      <c r="X60" s="801">
        <f t="shared" si="73"/>
        <v>0</v>
      </c>
      <c r="Y60" s="801">
        <f t="shared" si="73"/>
        <v>0</v>
      </c>
      <c r="Z60" s="801">
        <f t="shared" si="73"/>
        <v>0</v>
      </c>
      <c r="AA60" s="801">
        <f t="shared" si="73"/>
        <v>0</v>
      </c>
      <c r="AB60" s="801">
        <f t="shared" si="73"/>
        <v>0</v>
      </c>
      <c r="AC60" s="801">
        <f t="shared" si="73"/>
        <v>0</v>
      </c>
      <c r="AD60" s="801">
        <f t="shared" si="73"/>
        <v>0</v>
      </c>
      <c r="AE60" s="801">
        <f t="shared" si="73"/>
        <v>0</v>
      </c>
      <c r="AF60" s="801">
        <f t="shared" si="73"/>
        <v>0</v>
      </c>
      <c r="AG60" s="936">
        <f t="shared" si="73"/>
        <v>0</v>
      </c>
      <c r="AH60" s="936">
        <f t="shared" si="73"/>
        <v>0</v>
      </c>
      <c r="AI60" s="936">
        <f t="shared" si="73"/>
        <v>0</v>
      </c>
      <c r="AJ60" s="936">
        <f t="shared" si="73"/>
        <v>0</v>
      </c>
      <c r="AK60" s="936"/>
      <c r="AL60" s="936"/>
      <c r="AM60" s="936"/>
      <c r="AN60" s="936"/>
      <c r="AO60" s="936"/>
    </row>
    <row r="61" spans="1:41" x14ac:dyDescent="0.2">
      <c r="A61" s="797"/>
      <c r="B61" s="15"/>
      <c r="C61" s="15"/>
      <c r="D61" s="15"/>
      <c r="E61" s="15"/>
      <c r="F61" s="15"/>
      <c r="G61" s="875"/>
      <c r="H61" s="798"/>
      <c r="I61" s="798"/>
      <c r="J61" s="798"/>
      <c r="K61" s="798"/>
      <c r="L61" s="798"/>
      <c r="M61" s="798"/>
      <c r="N61" s="798"/>
      <c r="O61" s="798"/>
      <c r="P61" s="798"/>
      <c r="Q61" s="798"/>
      <c r="R61" s="798"/>
      <c r="S61" s="798"/>
      <c r="T61" s="223"/>
      <c r="U61" s="798"/>
      <c r="V61" s="798"/>
      <c r="W61" s="798"/>
      <c r="X61" s="798"/>
      <c r="Y61" s="798"/>
      <c r="Z61" s="798"/>
      <c r="AA61" s="798"/>
      <c r="AB61" s="798"/>
      <c r="AC61" s="798"/>
      <c r="AD61" s="798"/>
      <c r="AE61" s="798"/>
      <c r="AF61" s="798"/>
      <c r="AG61" s="223"/>
      <c r="AH61" s="934"/>
      <c r="AI61" s="934"/>
      <c r="AJ61" s="934"/>
      <c r="AK61" s="934"/>
      <c r="AL61" s="934"/>
      <c r="AM61" s="934"/>
      <c r="AN61" s="934"/>
      <c r="AO61" s="934"/>
    </row>
    <row r="62" spans="1:41" x14ac:dyDescent="0.2">
      <c r="A62" s="799" t="s">
        <v>377</v>
      </c>
      <c r="B62" s="15"/>
      <c r="C62" s="15"/>
      <c r="D62" s="15"/>
      <c r="E62" s="15"/>
      <c r="F62" s="15"/>
      <c r="G62" s="875"/>
      <c r="H62" s="798"/>
      <c r="I62" s="798"/>
      <c r="J62" s="798"/>
      <c r="K62" s="798"/>
      <c r="L62" s="798"/>
      <c r="M62" s="798"/>
      <c r="N62" s="798"/>
      <c r="O62" s="798"/>
      <c r="P62" s="798"/>
      <c r="Q62" s="798"/>
      <c r="R62" s="798"/>
      <c r="S62" s="798"/>
      <c r="T62" s="223"/>
      <c r="U62" s="798"/>
      <c r="V62" s="798"/>
      <c r="W62" s="798"/>
      <c r="X62" s="798"/>
      <c r="Y62" s="798"/>
      <c r="Z62" s="798"/>
      <c r="AA62" s="798"/>
      <c r="AB62" s="798"/>
      <c r="AC62" s="798"/>
      <c r="AD62" s="798"/>
      <c r="AE62" s="798"/>
      <c r="AF62" s="798"/>
      <c r="AG62" s="223"/>
      <c r="AH62" s="934"/>
      <c r="AI62" s="934"/>
      <c r="AJ62" s="934"/>
      <c r="AK62" s="934"/>
      <c r="AL62" s="934"/>
      <c r="AM62" s="934"/>
      <c r="AN62" s="934"/>
      <c r="AO62" s="934"/>
    </row>
    <row r="63" spans="1:41" x14ac:dyDescent="0.2">
      <c r="A63" s="797" t="s">
        <v>378</v>
      </c>
      <c r="B63" s="15"/>
      <c r="C63" s="798">
        <v>12000</v>
      </c>
      <c r="D63" s="798">
        <f>C63</f>
        <v>12000</v>
      </c>
      <c r="E63" s="798">
        <f t="shared" ref="E63:G63" si="74">D63</f>
        <v>12000</v>
      </c>
      <c r="F63" s="798">
        <f t="shared" si="74"/>
        <v>12000</v>
      </c>
      <c r="G63" s="814">
        <f t="shared" si="74"/>
        <v>12000</v>
      </c>
      <c r="H63" s="798">
        <f>G63</f>
        <v>12000</v>
      </c>
      <c r="I63" s="798">
        <f t="shared" ref="I63:S63" si="75">H63</f>
        <v>12000</v>
      </c>
      <c r="J63" s="798">
        <f t="shared" si="75"/>
        <v>12000</v>
      </c>
      <c r="K63" s="798">
        <f t="shared" si="75"/>
        <v>12000</v>
      </c>
      <c r="L63" s="798">
        <f t="shared" si="75"/>
        <v>12000</v>
      </c>
      <c r="M63" s="798">
        <f t="shared" si="75"/>
        <v>12000</v>
      </c>
      <c r="N63" s="798">
        <f t="shared" si="75"/>
        <v>12000</v>
      </c>
      <c r="O63" s="798">
        <f t="shared" si="75"/>
        <v>12000</v>
      </c>
      <c r="P63" s="798">
        <f t="shared" si="75"/>
        <v>12000</v>
      </c>
      <c r="Q63" s="798">
        <f t="shared" si="75"/>
        <v>12000</v>
      </c>
      <c r="R63" s="798">
        <f t="shared" si="75"/>
        <v>12000</v>
      </c>
      <c r="S63" s="798">
        <f t="shared" si="75"/>
        <v>12000</v>
      </c>
      <c r="T63" s="223">
        <f>S63</f>
        <v>12000</v>
      </c>
      <c r="U63" s="798">
        <f t="shared" ref="U63:AG63" si="76">T63</f>
        <v>12000</v>
      </c>
      <c r="V63" s="798">
        <f t="shared" si="76"/>
        <v>12000</v>
      </c>
      <c r="W63" s="798">
        <f t="shared" si="76"/>
        <v>12000</v>
      </c>
      <c r="X63" s="798">
        <f t="shared" si="76"/>
        <v>12000</v>
      </c>
      <c r="Y63" s="798">
        <f t="shared" si="76"/>
        <v>12000</v>
      </c>
      <c r="Z63" s="798">
        <f t="shared" si="76"/>
        <v>12000</v>
      </c>
      <c r="AA63" s="798">
        <f t="shared" si="76"/>
        <v>12000</v>
      </c>
      <c r="AB63" s="798">
        <f t="shared" si="76"/>
        <v>12000</v>
      </c>
      <c r="AC63" s="798">
        <f t="shared" si="76"/>
        <v>12000</v>
      </c>
      <c r="AD63" s="798">
        <f t="shared" si="76"/>
        <v>12000</v>
      </c>
      <c r="AE63" s="798">
        <f t="shared" si="76"/>
        <v>12000</v>
      </c>
      <c r="AF63" s="798">
        <f t="shared" si="76"/>
        <v>12000</v>
      </c>
      <c r="AG63" s="814">
        <f t="shared" si="76"/>
        <v>12000</v>
      </c>
      <c r="AH63" s="484">
        <f>AG63</f>
        <v>12000</v>
      </c>
      <c r="AI63" s="484">
        <f t="shared" ref="AI63:AO63" si="77">AH63</f>
        <v>12000</v>
      </c>
      <c r="AJ63" s="484">
        <f t="shared" si="77"/>
        <v>12000</v>
      </c>
      <c r="AK63" s="484">
        <f t="shared" si="77"/>
        <v>12000</v>
      </c>
      <c r="AL63" s="484">
        <f t="shared" si="77"/>
        <v>12000</v>
      </c>
      <c r="AM63" s="484">
        <f t="shared" si="77"/>
        <v>12000</v>
      </c>
      <c r="AN63" s="484">
        <f t="shared" si="77"/>
        <v>12000</v>
      </c>
      <c r="AO63" s="484">
        <f t="shared" si="77"/>
        <v>12000</v>
      </c>
    </row>
    <row r="64" spans="1:41" x14ac:dyDescent="0.2">
      <c r="A64" s="797" t="s">
        <v>379</v>
      </c>
      <c r="B64" s="798"/>
      <c r="C64" s="800">
        <v>0</v>
      </c>
      <c r="D64" s="800">
        <v>0</v>
      </c>
      <c r="E64" s="800">
        <v>0</v>
      </c>
      <c r="F64" s="800">
        <v>0</v>
      </c>
      <c r="G64" s="1036">
        <f>SUM(C64:E64)</f>
        <v>0</v>
      </c>
      <c r="H64" s="800">
        <v>14</v>
      </c>
      <c r="I64" s="800">
        <v>14</v>
      </c>
      <c r="J64" s="800">
        <v>12</v>
      </c>
      <c r="K64" s="800">
        <v>0</v>
      </c>
      <c r="L64" s="800">
        <v>0</v>
      </c>
      <c r="M64" s="800">
        <v>0</v>
      </c>
      <c r="N64" s="800">
        <v>0</v>
      </c>
      <c r="O64" s="800">
        <v>0</v>
      </c>
      <c r="P64" s="800">
        <v>0</v>
      </c>
      <c r="Q64" s="800">
        <v>0</v>
      </c>
      <c r="R64" s="800">
        <v>0</v>
      </c>
      <c r="S64" s="800">
        <v>0</v>
      </c>
      <c r="T64" s="951">
        <f>SUM(H64:S64)</f>
        <v>40</v>
      </c>
      <c r="U64" s="800">
        <v>0</v>
      </c>
      <c r="V64" s="800">
        <v>0</v>
      </c>
      <c r="W64" s="800">
        <v>0</v>
      </c>
      <c r="X64" s="800">
        <v>0</v>
      </c>
      <c r="Y64" s="800">
        <v>0</v>
      </c>
      <c r="Z64" s="800">
        <v>0</v>
      </c>
      <c r="AA64" s="800">
        <v>0</v>
      </c>
      <c r="AB64" s="800">
        <v>0</v>
      </c>
      <c r="AC64" s="800">
        <v>0</v>
      </c>
      <c r="AD64" s="800">
        <v>0</v>
      </c>
      <c r="AE64" s="800">
        <v>0</v>
      </c>
      <c r="AF64" s="800">
        <v>0</v>
      </c>
      <c r="AG64" s="951">
        <f>SUM(U64:AF64)</f>
        <v>0</v>
      </c>
      <c r="AH64" s="935">
        <v>0</v>
      </c>
      <c r="AI64" s="935">
        <v>0</v>
      </c>
      <c r="AJ64" s="935">
        <v>0</v>
      </c>
      <c r="AK64" s="935">
        <v>0</v>
      </c>
      <c r="AL64" s="935">
        <v>0</v>
      </c>
      <c r="AM64" s="935">
        <v>0</v>
      </c>
      <c r="AN64" s="935">
        <v>0</v>
      </c>
      <c r="AO64" s="935">
        <v>0</v>
      </c>
    </row>
    <row r="65" spans="1:41" x14ac:dyDescent="0.2">
      <c r="A65" s="869" t="s">
        <v>380</v>
      </c>
      <c r="B65" s="870"/>
      <c r="C65" s="801">
        <f t="shared" ref="C65:AO65" si="78">C63*C64</f>
        <v>0</v>
      </c>
      <c r="D65" s="801">
        <f t="shared" si="78"/>
        <v>0</v>
      </c>
      <c r="E65" s="801">
        <f t="shared" si="78"/>
        <v>0</v>
      </c>
      <c r="F65" s="801">
        <f t="shared" si="78"/>
        <v>0</v>
      </c>
      <c r="G65" s="936">
        <f t="shared" si="78"/>
        <v>0</v>
      </c>
      <c r="H65" s="801">
        <f t="shared" si="78"/>
        <v>168000</v>
      </c>
      <c r="I65" s="801">
        <f t="shared" si="78"/>
        <v>168000</v>
      </c>
      <c r="J65" s="801">
        <f t="shared" si="78"/>
        <v>144000</v>
      </c>
      <c r="K65" s="801">
        <f t="shared" si="78"/>
        <v>0</v>
      </c>
      <c r="L65" s="801">
        <f t="shared" si="78"/>
        <v>0</v>
      </c>
      <c r="M65" s="801">
        <f t="shared" si="78"/>
        <v>0</v>
      </c>
      <c r="N65" s="801">
        <f t="shared" si="78"/>
        <v>0</v>
      </c>
      <c r="O65" s="801">
        <f t="shared" si="78"/>
        <v>0</v>
      </c>
      <c r="P65" s="801">
        <f t="shared" si="78"/>
        <v>0</v>
      </c>
      <c r="Q65" s="801">
        <f t="shared" si="78"/>
        <v>0</v>
      </c>
      <c r="R65" s="801">
        <f t="shared" si="78"/>
        <v>0</v>
      </c>
      <c r="S65" s="801">
        <f t="shared" si="78"/>
        <v>0</v>
      </c>
      <c r="T65" s="936">
        <f t="shared" si="78"/>
        <v>480000</v>
      </c>
      <c r="U65" s="801">
        <f t="shared" si="78"/>
        <v>0</v>
      </c>
      <c r="V65" s="801">
        <f t="shared" si="78"/>
        <v>0</v>
      </c>
      <c r="W65" s="801">
        <f t="shared" si="78"/>
        <v>0</v>
      </c>
      <c r="X65" s="801">
        <f t="shared" si="78"/>
        <v>0</v>
      </c>
      <c r="Y65" s="801">
        <f t="shared" si="78"/>
        <v>0</v>
      </c>
      <c r="Z65" s="801">
        <f t="shared" si="78"/>
        <v>0</v>
      </c>
      <c r="AA65" s="801">
        <f t="shared" si="78"/>
        <v>0</v>
      </c>
      <c r="AB65" s="801">
        <f t="shared" si="78"/>
        <v>0</v>
      </c>
      <c r="AC65" s="801">
        <f t="shared" si="78"/>
        <v>0</v>
      </c>
      <c r="AD65" s="801">
        <f t="shared" si="78"/>
        <v>0</v>
      </c>
      <c r="AE65" s="801">
        <f t="shared" si="78"/>
        <v>0</v>
      </c>
      <c r="AF65" s="801">
        <f t="shared" si="78"/>
        <v>0</v>
      </c>
      <c r="AG65" s="936">
        <f t="shared" si="78"/>
        <v>0</v>
      </c>
      <c r="AH65" s="936">
        <f t="shared" si="78"/>
        <v>0</v>
      </c>
      <c r="AI65" s="936">
        <f t="shared" si="78"/>
        <v>0</v>
      </c>
      <c r="AJ65" s="936">
        <f t="shared" si="78"/>
        <v>0</v>
      </c>
      <c r="AK65" s="936">
        <f t="shared" si="78"/>
        <v>0</v>
      </c>
      <c r="AL65" s="936">
        <f t="shared" si="78"/>
        <v>0</v>
      </c>
      <c r="AM65" s="936">
        <f t="shared" si="78"/>
        <v>0</v>
      </c>
      <c r="AN65" s="936">
        <f t="shared" si="78"/>
        <v>0</v>
      </c>
      <c r="AO65" s="936">
        <f t="shared" si="78"/>
        <v>0</v>
      </c>
    </row>
    <row r="66" spans="1:41" x14ac:dyDescent="0.2">
      <c r="A66" s="797"/>
      <c r="B66" s="15"/>
      <c r="C66" s="15"/>
      <c r="D66" s="15"/>
      <c r="E66" s="15"/>
      <c r="F66" s="15"/>
      <c r="G66" s="875"/>
      <c r="H66" s="696"/>
      <c r="I66" s="696"/>
      <c r="J66" s="696"/>
      <c r="K66" s="696"/>
      <c r="L66" s="696"/>
      <c r="M66" s="696"/>
      <c r="N66" s="696"/>
      <c r="O66" s="696"/>
      <c r="P66" s="696"/>
      <c r="Q66" s="696"/>
      <c r="R66" s="696"/>
      <c r="S66" s="696"/>
      <c r="T66" s="814"/>
      <c r="U66" s="696"/>
      <c r="V66" s="696"/>
      <c r="W66" s="696"/>
      <c r="X66" s="696"/>
      <c r="Y66" s="696"/>
      <c r="Z66" s="696"/>
      <c r="AA66" s="696"/>
      <c r="AB66" s="696"/>
      <c r="AC66" s="696"/>
      <c r="AD66" s="696"/>
      <c r="AE66" s="696"/>
      <c r="AF66" s="696"/>
      <c r="AG66" s="814"/>
      <c r="AH66" s="814"/>
      <c r="AI66" s="814"/>
      <c r="AJ66" s="814"/>
      <c r="AK66" s="814"/>
      <c r="AL66" s="814"/>
      <c r="AM66" s="814"/>
      <c r="AN66" s="814"/>
      <c r="AO66" s="814"/>
    </row>
    <row r="67" spans="1:41" x14ac:dyDescent="0.2">
      <c r="A67" s="799" t="s">
        <v>381</v>
      </c>
      <c r="B67" s="15"/>
      <c r="C67" s="15"/>
      <c r="D67" s="15"/>
      <c r="E67" s="15"/>
      <c r="F67" s="15"/>
      <c r="G67" s="875"/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957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934"/>
      <c r="AH67" s="484"/>
      <c r="AI67" s="484"/>
      <c r="AJ67" s="484"/>
      <c r="AK67" s="484"/>
      <c r="AL67" s="484"/>
      <c r="AM67" s="484"/>
      <c r="AN67" s="484"/>
      <c r="AO67" s="484"/>
    </row>
    <row r="68" spans="1:41" x14ac:dyDescent="0.2">
      <c r="A68" s="797" t="s">
        <v>382</v>
      </c>
      <c r="C68" s="800">
        <v>0</v>
      </c>
      <c r="D68" s="800">
        <v>0</v>
      </c>
      <c r="E68" s="800">
        <v>0</v>
      </c>
      <c r="F68" s="800">
        <v>0</v>
      </c>
      <c r="G68" s="951">
        <f>SUM(C68:F68)</f>
        <v>0</v>
      </c>
      <c r="H68" s="800">
        <v>0</v>
      </c>
      <c r="I68" s="800">
        <v>0</v>
      </c>
      <c r="J68" s="800">
        <v>0</v>
      </c>
      <c r="K68" s="800">
        <v>0</v>
      </c>
      <c r="L68" s="800">
        <v>0</v>
      </c>
      <c r="M68" s="800">
        <v>0</v>
      </c>
      <c r="N68" s="800">
        <v>0</v>
      </c>
      <c r="O68" s="800">
        <v>0</v>
      </c>
      <c r="P68" s="800">
        <v>0</v>
      </c>
      <c r="Q68" s="800">
        <v>0</v>
      </c>
      <c r="R68" s="800">
        <v>0</v>
      </c>
      <c r="S68" s="800">
        <v>0</v>
      </c>
      <c r="T68" s="984">
        <f>SUM(H68:S68)</f>
        <v>0</v>
      </c>
      <c r="U68" s="800">
        <v>0</v>
      </c>
      <c r="V68" s="800">
        <v>0</v>
      </c>
      <c r="W68" s="800">
        <v>0</v>
      </c>
      <c r="X68" s="800">
        <v>0</v>
      </c>
      <c r="Y68" s="800">
        <v>0</v>
      </c>
      <c r="Z68" s="800">
        <v>0</v>
      </c>
      <c r="AA68" s="800">
        <v>5</v>
      </c>
      <c r="AB68" s="800">
        <v>0</v>
      </c>
      <c r="AC68" s="800">
        <v>0</v>
      </c>
      <c r="AD68" s="800">
        <v>0</v>
      </c>
      <c r="AE68" s="800">
        <v>0</v>
      </c>
      <c r="AF68" s="800">
        <v>0</v>
      </c>
      <c r="AG68" s="951">
        <f>SUM(U68:AF68)</f>
        <v>5</v>
      </c>
      <c r="AH68" s="935">
        <v>0</v>
      </c>
      <c r="AI68" s="935">
        <v>0</v>
      </c>
      <c r="AJ68" s="935">
        <v>0</v>
      </c>
      <c r="AK68" s="935">
        <v>0</v>
      </c>
      <c r="AL68" s="935">
        <v>0</v>
      </c>
      <c r="AM68" s="935">
        <v>0</v>
      </c>
      <c r="AN68" s="935">
        <v>0</v>
      </c>
      <c r="AO68" s="935">
        <v>0</v>
      </c>
    </row>
    <row r="69" spans="1:41" x14ac:dyDescent="0.2">
      <c r="A69" s="797" t="s">
        <v>384</v>
      </c>
      <c r="B69" s="15"/>
      <c r="C69" s="798">
        <v>5000</v>
      </c>
      <c r="D69" s="798">
        <f>C69</f>
        <v>5000</v>
      </c>
      <c r="E69" s="798">
        <f t="shared" ref="E69:F69" si="79">D69</f>
        <v>5000</v>
      </c>
      <c r="F69" s="798">
        <f t="shared" si="79"/>
        <v>5000</v>
      </c>
      <c r="G69" s="814">
        <f>F69</f>
        <v>5000</v>
      </c>
      <c r="H69" s="798">
        <f>G69</f>
        <v>5000</v>
      </c>
      <c r="I69" s="798">
        <f t="shared" ref="I69:S69" si="80">H69</f>
        <v>5000</v>
      </c>
      <c r="J69" s="798">
        <f t="shared" si="80"/>
        <v>5000</v>
      </c>
      <c r="K69" s="798">
        <f t="shared" si="80"/>
        <v>5000</v>
      </c>
      <c r="L69" s="798">
        <f t="shared" si="80"/>
        <v>5000</v>
      </c>
      <c r="M69" s="798">
        <f t="shared" si="80"/>
        <v>5000</v>
      </c>
      <c r="N69" s="798">
        <f t="shared" si="80"/>
        <v>5000</v>
      </c>
      <c r="O69" s="798">
        <f t="shared" si="80"/>
        <v>5000</v>
      </c>
      <c r="P69" s="798">
        <f t="shared" si="80"/>
        <v>5000</v>
      </c>
      <c r="Q69" s="798">
        <f t="shared" si="80"/>
        <v>5000</v>
      </c>
      <c r="R69" s="798">
        <f t="shared" si="80"/>
        <v>5000</v>
      </c>
      <c r="S69" s="798">
        <f t="shared" si="80"/>
        <v>5000</v>
      </c>
      <c r="T69" s="223">
        <f>S69</f>
        <v>5000</v>
      </c>
      <c r="U69" s="798">
        <f>T69</f>
        <v>5000</v>
      </c>
      <c r="V69" s="798">
        <f t="shared" ref="V69:AF69" si="81">U69</f>
        <v>5000</v>
      </c>
      <c r="W69" s="798">
        <f t="shared" si="81"/>
        <v>5000</v>
      </c>
      <c r="X69" s="798">
        <f t="shared" si="81"/>
        <v>5000</v>
      </c>
      <c r="Y69" s="798">
        <f t="shared" si="81"/>
        <v>5000</v>
      </c>
      <c r="Z69" s="798">
        <f t="shared" si="81"/>
        <v>5000</v>
      </c>
      <c r="AA69" s="798">
        <f t="shared" si="81"/>
        <v>5000</v>
      </c>
      <c r="AB69" s="798">
        <f t="shared" si="81"/>
        <v>5000</v>
      </c>
      <c r="AC69" s="798">
        <f t="shared" si="81"/>
        <v>5000</v>
      </c>
      <c r="AD69" s="798">
        <f t="shared" si="81"/>
        <v>5000</v>
      </c>
      <c r="AE69" s="798">
        <f t="shared" si="81"/>
        <v>5000</v>
      </c>
      <c r="AF69" s="798">
        <f t="shared" si="81"/>
        <v>5000</v>
      </c>
      <c r="AG69" s="223">
        <f>AF69</f>
        <v>5000</v>
      </c>
      <c r="AH69" s="934">
        <f>AG69</f>
        <v>5000</v>
      </c>
      <c r="AI69" s="934">
        <f t="shared" ref="AI69:AO69" si="82">AH69</f>
        <v>5000</v>
      </c>
      <c r="AJ69" s="934">
        <f t="shared" si="82"/>
        <v>5000</v>
      </c>
      <c r="AK69" s="934">
        <f t="shared" si="82"/>
        <v>5000</v>
      </c>
      <c r="AL69" s="934">
        <f t="shared" si="82"/>
        <v>5000</v>
      </c>
      <c r="AM69" s="934">
        <f t="shared" si="82"/>
        <v>5000</v>
      </c>
      <c r="AN69" s="934">
        <f t="shared" si="82"/>
        <v>5000</v>
      </c>
      <c r="AO69" s="934">
        <f t="shared" si="82"/>
        <v>5000</v>
      </c>
    </row>
    <row r="70" spans="1:41" x14ac:dyDescent="0.2">
      <c r="A70" s="797" t="s">
        <v>378</v>
      </c>
      <c r="B70" s="15"/>
      <c r="C70" s="696">
        <f t="shared" ref="C70:AO70" si="83">C63</f>
        <v>12000</v>
      </c>
      <c r="D70" s="696">
        <f t="shared" si="83"/>
        <v>12000</v>
      </c>
      <c r="E70" s="696">
        <f t="shared" si="83"/>
        <v>12000</v>
      </c>
      <c r="F70" s="696">
        <f t="shared" si="83"/>
        <v>12000</v>
      </c>
      <c r="G70" s="814">
        <f t="shared" si="83"/>
        <v>12000</v>
      </c>
      <c r="H70" s="696">
        <f t="shared" si="83"/>
        <v>12000</v>
      </c>
      <c r="I70" s="696">
        <f t="shared" si="83"/>
        <v>12000</v>
      </c>
      <c r="J70" s="696">
        <f t="shared" si="83"/>
        <v>12000</v>
      </c>
      <c r="K70" s="696">
        <f t="shared" si="83"/>
        <v>12000</v>
      </c>
      <c r="L70" s="696">
        <f t="shared" si="83"/>
        <v>12000</v>
      </c>
      <c r="M70" s="696">
        <f t="shared" si="83"/>
        <v>12000</v>
      </c>
      <c r="N70" s="696">
        <f t="shared" si="83"/>
        <v>12000</v>
      </c>
      <c r="O70" s="696">
        <f t="shared" si="83"/>
        <v>12000</v>
      </c>
      <c r="P70" s="696">
        <f t="shared" si="83"/>
        <v>12000</v>
      </c>
      <c r="Q70" s="696">
        <f t="shared" si="83"/>
        <v>12000</v>
      </c>
      <c r="R70" s="696">
        <f t="shared" si="83"/>
        <v>12000</v>
      </c>
      <c r="S70" s="696">
        <f t="shared" si="83"/>
        <v>12000</v>
      </c>
      <c r="T70" s="814">
        <f t="shared" si="83"/>
        <v>12000</v>
      </c>
      <c r="U70" s="696">
        <f t="shared" si="83"/>
        <v>12000</v>
      </c>
      <c r="V70" s="696">
        <f t="shared" si="83"/>
        <v>12000</v>
      </c>
      <c r="W70" s="696">
        <f t="shared" si="83"/>
        <v>12000</v>
      </c>
      <c r="X70" s="696">
        <f t="shared" si="83"/>
        <v>12000</v>
      </c>
      <c r="Y70" s="696">
        <f t="shared" si="83"/>
        <v>12000</v>
      </c>
      <c r="Z70" s="696">
        <f t="shared" si="83"/>
        <v>12000</v>
      </c>
      <c r="AA70" s="696">
        <f t="shared" si="83"/>
        <v>12000</v>
      </c>
      <c r="AB70" s="696">
        <f t="shared" si="83"/>
        <v>12000</v>
      </c>
      <c r="AC70" s="696">
        <f t="shared" si="83"/>
        <v>12000</v>
      </c>
      <c r="AD70" s="696">
        <f t="shared" si="83"/>
        <v>12000</v>
      </c>
      <c r="AE70" s="696">
        <f t="shared" si="83"/>
        <v>12000</v>
      </c>
      <c r="AF70" s="696">
        <f t="shared" si="83"/>
        <v>12000</v>
      </c>
      <c r="AG70" s="814">
        <f t="shared" si="83"/>
        <v>12000</v>
      </c>
      <c r="AH70" s="814">
        <f t="shared" si="83"/>
        <v>12000</v>
      </c>
      <c r="AI70" s="814">
        <f t="shared" si="83"/>
        <v>12000</v>
      </c>
      <c r="AJ70" s="814">
        <f t="shared" si="83"/>
        <v>12000</v>
      </c>
      <c r="AK70" s="814">
        <f t="shared" si="83"/>
        <v>12000</v>
      </c>
      <c r="AL70" s="814">
        <f t="shared" si="83"/>
        <v>12000</v>
      </c>
      <c r="AM70" s="814">
        <f t="shared" si="83"/>
        <v>12000</v>
      </c>
      <c r="AN70" s="814">
        <f t="shared" si="83"/>
        <v>12000</v>
      </c>
      <c r="AO70" s="814">
        <f t="shared" si="83"/>
        <v>12000</v>
      </c>
    </row>
    <row r="71" spans="1:41" x14ac:dyDescent="0.2">
      <c r="A71" s="797" t="s">
        <v>379</v>
      </c>
      <c r="B71" s="15"/>
      <c r="C71" s="800">
        <v>0</v>
      </c>
      <c r="D71" s="800">
        <v>0</v>
      </c>
      <c r="E71" s="800">
        <v>0</v>
      </c>
      <c r="F71" s="800">
        <v>0</v>
      </c>
      <c r="G71" s="951">
        <f>SUM(C71:F71)</f>
        <v>0</v>
      </c>
      <c r="H71" s="800">
        <v>0</v>
      </c>
      <c r="I71" s="800">
        <v>0</v>
      </c>
      <c r="J71" s="800">
        <v>0</v>
      </c>
      <c r="K71" s="800">
        <v>0</v>
      </c>
      <c r="L71" s="800">
        <v>0</v>
      </c>
      <c r="M71" s="800">
        <v>0</v>
      </c>
      <c r="N71" s="800">
        <v>0</v>
      </c>
      <c r="O71" s="800">
        <v>0</v>
      </c>
      <c r="P71" s="800">
        <v>0</v>
      </c>
      <c r="Q71" s="800">
        <v>0</v>
      </c>
      <c r="R71" s="800">
        <v>0</v>
      </c>
      <c r="S71" s="800">
        <v>0</v>
      </c>
      <c r="T71" s="951">
        <f>SUM(H71:S71)</f>
        <v>0</v>
      </c>
      <c r="U71" s="800">
        <v>0</v>
      </c>
      <c r="V71" s="800">
        <v>0</v>
      </c>
      <c r="W71" s="800">
        <v>0</v>
      </c>
      <c r="X71" s="800">
        <v>0</v>
      </c>
      <c r="Y71" s="800">
        <v>0</v>
      </c>
      <c r="Z71" s="800">
        <v>0</v>
      </c>
      <c r="AA71" s="800">
        <v>4</v>
      </c>
      <c r="AB71" s="800">
        <v>0</v>
      </c>
      <c r="AC71" s="800">
        <v>0</v>
      </c>
      <c r="AD71" s="800">
        <v>0</v>
      </c>
      <c r="AE71" s="800">
        <v>0</v>
      </c>
      <c r="AF71" s="800">
        <v>0</v>
      </c>
      <c r="AG71" s="951">
        <f>SUM(U71:AF71)</f>
        <v>4</v>
      </c>
      <c r="AH71" s="935">
        <v>0</v>
      </c>
      <c r="AI71" s="935">
        <v>0</v>
      </c>
      <c r="AJ71" s="935">
        <v>0</v>
      </c>
      <c r="AK71" s="935">
        <v>0</v>
      </c>
      <c r="AL71" s="935">
        <v>0</v>
      </c>
      <c r="AM71" s="935">
        <v>0</v>
      </c>
      <c r="AN71" s="935">
        <v>0</v>
      </c>
      <c r="AO71" s="935">
        <v>0</v>
      </c>
    </row>
    <row r="72" spans="1:41" x14ac:dyDescent="0.2">
      <c r="A72" s="869" t="s">
        <v>383</v>
      </c>
      <c r="B72" s="870"/>
      <c r="C72" s="801">
        <f>(C68*C69)+((C71*C68)*C70)</f>
        <v>0</v>
      </c>
      <c r="D72" s="801">
        <f t="shared" ref="D72:F72" si="84">(D68*D69)+((D71*D68)*D70)</f>
        <v>0</v>
      </c>
      <c r="E72" s="801">
        <f t="shared" si="84"/>
        <v>0</v>
      </c>
      <c r="F72" s="801">
        <f t="shared" si="84"/>
        <v>0</v>
      </c>
      <c r="G72" s="936">
        <f>SUM(C72:F72)</f>
        <v>0</v>
      </c>
      <c r="H72" s="801">
        <f>(H68*H69)+((H71*H68)*H70)</f>
        <v>0</v>
      </c>
      <c r="I72" s="801">
        <f t="shared" ref="I72:U72" si="85">(I68*I69)+((I71*I68)*I70)</f>
        <v>0</v>
      </c>
      <c r="J72" s="801">
        <f t="shared" si="85"/>
        <v>0</v>
      </c>
      <c r="K72" s="801">
        <f t="shared" si="85"/>
        <v>0</v>
      </c>
      <c r="L72" s="801">
        <f t="shared" si="85"/>
        <v>0</v>
      </c>
      <c r="M72" s="801">
        <f t="shared" si="85"/>
        <v>0</v>
      </c>
      <c r="N72" s="801">
        <f t="shared" si="85"/>
        <v>0</v>
      </c>
      <c r="O72" s="801">
        <f t="shared" si="85"/>
        <v>0</v>
      </c>
      <c r="P72" s="801">
        <f t="shared" si="85"/>
        <v>0</v>
      </c>
      <c r="Q72" s="801">
        <f t="shared" si="85"/>
        <v>0</v>
      </c>
      <c r="R72" s="801">
        <f t="shared" si="85"/>
        <v>0</v>
      </c>
      <c r="S72" s="801">
        <f t="shared" si="85"/>
        <v>0</v>
      </c>
      <c r="T72" s="936">
        <f>SUM(H72:S72)</f>
        <v>0</v>
      </c>
      <c r="U72" s="801">
        <f t="shared" si="85"/>
        <v>0</v>
      </c>
      <c r="V72" s="801">
        <f t="shared" ref="V72" si="86">(V68*V69)+((V71*V68)*V70)</f>
        <v>0</v>
      </c>
      <c r="W72" s="801">
        <f t="shared" ref="W72" si="87">(W68*W69)+((W71*W68)*W70)</f>
        <v>0</v>
      </c>
      <c r="X72" s="801">
        <f t="shared" ref="X72" si="88">(X68*X69)+((X71*X68)*X70)</f>
        <v>0</v>
      </c>
      <c r="Y72" s="801">
        <f t="shared" ref="Y72" si="89">(Y68*Y69)+((Y71*Y68)*Y70)</f>
        <v>0</v>
      </c>
      <c r="Z72" s="801">
        <f t="shared" ref="Z72" si="90">(Z68*Z69)+((Z71*Z68)*Z70)</f>
        <v>0</v>
      </c>
      <c r="AA72" s="801">
        <f t="shared" ref="AA72" si="91">(AA68*AA69)+((AA71*AA68)*AA70)</f>
        <v>265000</v>
      </c>
      <c r="AB72" s="801">
        <f t="shared" ref="AB72" si="92">(AB68*AB69)+((AB71*AB68)*AB70)</f>
        <v>0</v>
      </c>
      <c r="AC72" s="801">
        <f t="shared" ref="AC72" si="93">(AC68*AC69)+((AC71*AC68)*AC70)</f>
        <v>0</v>
      </c>
      <c r="AD72" s="801">
        <f t="shared" ref="AD72" si="94">(AD68*AD69)+((AD71*AD68)*AD70)</f>
        <v>0</v>
      </c>
      <c r="AE72" s="801">
        <f t="shared" ref="AE72" si="95">(AE68*AE69)+((AE71*AE68)*AE70)</f>
        <v>0</v>
      </c>
      <c r="AF72" s="801">
        <f t="shared" ref="AF72" si="96">(AF68*AF69)+((AF71*AF68)*AF70)</f>
        <v>0</v>
      </c>
      <c r="AG72" s="936">
        <f>SUM(U72:AF72)</f>
        <v>265000</v>
      </c>
      <c r="AH72" s="936">
        <f t="shared" ref="AH72:AO72" si="97">(AH68*AH69)+((AH71*AH68)*AH70)</f>
        <v>0</v>
      </c>
      <c r="AI72" s="936">
        <f t="shared" si="97"/>
        <v>0</v>
      </c>
      <c r="AJ72" s="936">
        <f t="shared" si="97"/>
        <v>0</v>
      </c>
      <c r="AK72" s="936">
        <f t="shared" si="97"/>
        <v>0</v>
      </c>
      <c r="AL72" s="936">
        <f t="shared" si="97"/>
        <v>0</v>
      </c>
      <c r="AM72" s="936">
        <f t="shared" si="97"/>
        <v>0</v>
      </c>
      <c r="AN72" s="936">
        <f t="shared" si="97"/>
        <v>0</v>
      </c>
      <c r="AO72" s="936">
        <f t="shared" si="97"/>
        <v>0</v>
      </c>
    </row>
    <row r="73" spans="1:41" x14ac:dyDescent="0.2">
      <c r="A73" s="797"/>
      <c r="B73" s="15"/>
      <c r="C73" s="15"/>
      <c r="D73" s="15"/>
      <c r="E73" s="15"/>
      <c r="F73" s="15"/>
      <c r="G73" s="875"/>
      <c r="H73" s="696"/>
      <c r="I73" s="696"/>
      <c r="J73" s="696"/>
      <c r="K73" s="696"/>
      <c r="L73" s="696"/>
      <c r="M73" s="696"/>
      <c r="N73" s="696"/>
      <c r="O73" s="696"/>
      <c r="P73" s="696"/>
      <c r="Q73" s="696"/>
      <c r="R73" s="696"/>
      <c r="S73" s="696"/>
      <c r="T73" s="814"/>
      <c r="U73" s="696"/>
      <c r="V73" s="696"/>
      <c r="W73" s="696"/>
      <c r="X73" s="696"/>
      <c r="Y73" s="696"/>
      <c r="Z73" s="696"/>
      <c r="AA73" s="696"/>
      <c r="AB73" s="696"/>
      <c r="AC73" s="696"/>
      <c r="AD73" s="696"/>
      <c r="AE73" s="696"/>
      <c r="AF73" s="696"/>
      <c r="AG73" s="814"/>
      <c r="AH73" s="814"/>
      <c r="AI73" s="814"/>
      <c r="AJ73" s="814"/>
      <c r="AK73" s="814"/>
      <c r="AL73" s="814"/>
      <c r="AM73" s="814"/>
      <c r="AN73" s="814"/>
      <c r="AO73" s="814"/>
    </row>
    <row r="74" spans="1:41" x14ac:dyDescent="0.2">
      <c r="A74" s="797" t="s">
        <v>386</v>
      </c>
      <c r="B74" s="15"/>
      <c r="C74" s="798">
        <v>0</v>
      </c>
      <c r="D74" s="798">
        <v>0</v>
      </c>
      <c r="E74" s="798">
        <v>0</v>
      </c>
      <c r="F74" s="798">
        <v>0</v>
      </c>
      <c r="G74" s="934">
        <v>0</v>
      </c>
      <c r="H74" s="798">
        <v>0</v>
      </c>
      <c r="I74" s="798">
        <v>0</v>
      </c>
      <c r="J74" s="798">
        <v>0</v>
      </c>
      <c r="K74" s="798">
        <v>0</v>
      </c>
      <c r="L74" s="798">
        <v>0</v>
      </c>
      <c r="M74" s="798">
        <v>0</v>
      </c>
      <c r="N74" s="798">
        <v>0</v>
      </c>
      <c r="O74" s="798">
        <v>0</v>
      </c>
      <c r="P74" s="798">
        <v>0</v>
      </c>
      <c r="Q74" s="798">
        <v>0</v>
      </c>
      <c r="R74" s="798">
        <v>0</v>
      </c>
      <c r="S74" s="798">
        <v>0</v>
      </c>
      <c r="T74" s="223">
        <f>SUM(H74:S74)</f>
        <v>0</v>
      </c>
      <c r="U74" s="798">
        <v>0</v>
      </c>
      <c r="V74" s="798">
        <v>0</v>
      </c>
      <c r="W74" s="798">
        <v>0</v>
      </c>
      <c r="X74" s="798">
        <v>0</v>
      </c>
      <c r="Y74" s="798">
        <v>0</v>
      </c>
      <c r="Z74" s="798">
        <v>0</v>
      </c>
      <c r="AA74" s="798">
        <v>0</v>
      </c>
      <c r="AB74" s="798">
        <v>0</v>
      </c>
      <c r="AC74" s="798">
        <v>0</v>
      </c>
      <c r="AD74" s="798">
        <v>0</v>
      </c>
      <c r="AE74" s="798">
        <v>0</v>
      </c>
      <c r="AF74" s="798">
        <v>0</v>
      </c>
      <c r="AG74" s="223">
        <f>SUM(U74:AF74)</f>
        <v>0</v>
      </c>
      <c r="AH74" s="934">
        <v>20000</v>
      </c>
      <c r="AI74" s="934">
        <v>20000</v>
      </c>
      <c r="AJ74" s="934">
        <v>20000</v>
      </c>
      <c r="AK74" s="934">
        <v>20000</v>
      </c>
      <c r="AL74" s="934">
        <v>20000</v>
      </c>
      <c r="AM74" s="934">
        <v>20000</v>
      </c>
      <c r="AN74" s="934">
        <v>20000</v>
      </c>
      <c r="AO74" s="934">
        <v>20000</v>
      </c>
    </row>
    <row r="75" spans="1:41" x14ac:dyDescent="0.2">
      <c r="A75" s="797"/>
      <c r="B75" s="15"/>
      <c r="C75" s="15"/>
      <c r="D75" s="15"/>
      <c r="E75" s="15"/>
      <c r="F75" s="15"/>
      <c r="G75" s="875"/>
      <c r="H75" s="696"/>
      <c r="I75" s="696"/>
      <c r="J75" s="696"/>
      <c r="K75" s="696"/>
      <c r="L75" s="696"/>
      <c r="M75" s="696"/>
      <c r="N75" s="696"/>
      <c r="O75" s="696"/>
      <c r="P75" s="696"/>
      <c r="Q75" s="696"/>
      <c r="R75" s="696"/>
      <c r="S75" s="696"/>
      <c r="T75" s="814"/>
      <c r="U75" s="696"/>
      <c r="V75" s="696"/>
      <c r="W75" s="696"/>
      <c r="X75" s="696"/>
      <c r="Y75" s="696"/>
      <c r="Z75" s="696"/>
      <c r="AA75" s="696"/>
      <c r="AB75" s="696"/>
      <c r="AC75" s="696"/>
      <c r="AD75" s="696"/>
      <c r="AE75" s="696"/>
      <c r="AF75" s="696"/>
      <c r="AG75" s="814"/>
      <c r="AH75" s="814"/>
      <c r="AI75" s="814"/>
      <c r="AJ75" s="814"/>
      <c r="AK75" s="814"/>
      <c r="AL75" s="814"/>
      <c r="AM75" s="814"/>
      <c r="AN75" s="814"/>
      <c r="AO75" s="814"/>
    </row>
    <row r="76" spans="1:41" x14ac:dyDescent="0.2">
      <c r="A76" s="802" t="s">
        <v>385</v>
      </c>
      <c r="B76" s="772"/>
      <c r="C76" s="775">
        <f>SUM(C54,C56,C65,C72,C74)</f>
        <v>0</v>
      </c>
      <c r="D76" s="775">
        <f>SUM(D60,D65,D72,D74)</f>
        <v>26000</v>
      </c>
      <c r="E76" s="775">
        <f t="shared" ref="E76:AJ76" si="98">SUM(E60,E65,E72,E74)</f>
        <v>0</v>
      </c>
      <c r="F76" s="775">
        <f t="shared" si="98"/>
        <v>0</v>
      </c>
      <c r="G76" s="932">
        <f t="shared" si="98"/>
        <v>26000</v>
      </c>
      <c r="H76" s="775">
        <f t="shared" si="98"/>
        <v>173000</v>
      </c>
      <c r="I76" s="775">
        <f t="shared" si="98"/>
        <v>173000</v>
      </c>
      <c r="J76" s="775">
        <f t="shared" si="98"/>
        <v>149000</v>
      </c>
      <c r="K76" s="775">
        <f t="shared" si="98"/>
        <v>5000</v>
      </c>
      <c r="L76" s="775">
        <f t="shared" si="98"/>
        <v>0</v>
      </c>
      <c r="M76" s="775">
        <f t="shared" si="98"/>
        <v>0</v>
      </c>
      <c r="N76" s="775">
        <f t="shared" si="98"/>
        <v>0</v>
      </c>
      <c r="O76" s="775">
        <f t="shared" si="98"/>
        <v>0</v>
      </c>
      <c r="P76" s="775">
        <f t="shared" si="98"/>
        <v>0</v>
      </c>
      <c r="Q76" s="775">
        <f t="shared" si="98"/>
        <v>0</v>
      </c>
      <c r="R76" s="775">
        <f t="shared" si="98"/>
        <v>0</v>
      </c>
      <c r="S76" s="775">
        <f t="shared" si="98"/>
        <v>0</v>
      </c>
      <c r="T76" s="932">
        <f t="shared" si="98"/>
        <v>500000</v>
      </c>
      <c r="U76" s="775">
        <f t="shared" si="98"/>
        <v>0</v>
      </c>
      <c r="V76" s="775">
        <f t="shared" si="98"/>
        <v>0</v>
      </c>
      <c r="W76" s="775">
        <f t="shared" si="98"/>
        <v>0</v>
      </c>
      <c r="X76" s="775">
        <f t="shared" si="98"/>
        <v>0</v>
      </c>
      <c r="Y76" s="775">
        <f t="shared" si="98"/>
        <v>0</v>
      </c>
      <c r="Z76" s="775">
        <f t="shared" si="98"/>
        <v>0</v>
      </c>
      <c r="AA76" s="775">
        <f t="shared" si="98"/>
        <v>265000</v>
      </c>
      <c r="AB76" s="775">
        <f t="shared" si="98"/>
        <v>0</v>
      </c>
      <c r="AC76" s="775">
        <f t="shared" si="98"/>
        <v>0</v>
      </c>
      <c r="AD76" s="775">
        <f>SUM(AD60,AD65,AD72,AD74)</f>
        <v>0</v>
      </c>
      <c r="AE76" s="775">
        <f t="shared" si="98"/>
        <v>0</v>
      </c>
      <c r="AF76" s="775">
        <f t="shared" si="98"/>
        <v>0</v>
      </c>
      <c r="AG76" s="932">
        <f t="shared" si="98"/>
        <v>265000</v>
      </c>
      <c r="AH76" s="932">
        <f t="shared" si="98"/>
        <v>20000</v>
      </c>
      <c r="AI76" s="932">
        <f t="shared" si="98"/>
        <v>20000</v>
      </c>
      <c r="AJ76" s="932">
        <f t="shared" si="98"/>
        <v>20000</v>
      </c>
      <c r="AK76" s="932">
        <f>SUM(AK54,AK56,AK65,AK72,AK74)</f>
        <v>20000</v>
      </c>
      <c r="AL76" s="932">
        <f>SUM(AL54,AL56,AL65,AL72,AL74)</f>
        <v>20000</v>
      </c>
      <c r="AM76" s="932">
        <f>SUM(AM54,AM56,AM65,AM72,AM74)</f>
        <v>20000</v>
      </c>
      <c r="AN76" s="932">
        <f>SUM(AN54,AN56,AN65,AN72,AN74)</f>
        <v>20000</v>
      </c>
      <c r="AO76" s="932">
        <f>SUM(AO54,AO56,AO65,AO72,AO74)</f>
        <v>20000</v>
      </c>
    </row>
    <row r="77" spans="1:41" x14ac:dyDescent="0.2">
      <c r="A77" s="779" t="s">
        <v>269</v>
      </c>
      <c r="B77" s="772"/>
      <c r="C77" s="781" t="str">
        <f>IF('P&amp;L'!C$3&gt;0,C76/'P&amp;L'!C$3,"n/m")</f>
        <v>n/m</v>
      </c>
      <c r="D77" s="781" t="str">
        <f>IF('P&amp;L'!D$3&gt;0,D76/'P&amp;L'!D$3,"n/m")</f>
        <v>n/m</v>
      </c>
      <c r="E77" s="781" t="str">
        <f>IF('P&amp;L'!E$3&gt;0,E76/'P&amp;L'!E$3,"n/m")</f>
        <v>n/m</v>
      </c>
      <c r="F77" s="781" t="str">
        <f>IF('P&amp;L'!F$3&gt;0,F76/'P&amp;L'!F$3,"n/m")</f>
        <v>n/m</v>
      </c>
      <c r="G77" s="933" t="str">
        <f>IF('P&amp;L'!G$3&gt;0,G76/'P&amp;L'!G$3,"n/m")</f>
        <v>n/m</v>
      </c>
      <c r="H77" s="781" t="str">
        <f>IF('P&amp;L'!H$3&gt;0,H76/'P&amp;L'!H$3,"n/m")</f>
        <v>n/m</v>
      </c>
      <c r="I77" s="781" t="str">
        <f>IF('P&amp;L'!I$3&gt;0,I76/'P&amp;L'!I$3,"n/m")</f>
        <v>n/m</v>
      </c>
      <c r="J77" s="781" t="str">
        <f>IF('P&amp;L'!J$3&gt;0,J76/'P&amp;L'!J$3,"n/m")</f>
        <v>n/m</v>
      </c>
      <c r="K77" s="781" t="str">
        <f>IF('P&amp;L'!K$3&gt;0,K76/'P&amp;L'!K$3,"n/m")</f>
        <v>n/m</v>
      </c>
      <c r="L77" s="781" t="str">
        <f>IF('P&amp;L'!L$3&gt;0,L76/'P&amp;L'!L$3,"n/m")</f>
        <v>n/m</v>
      </c>
      <c r="M77" s="781" t="str">
        <f>IF('P&amp;L'!M$3&gt;0,M76/'P&amp;L'!M$3,"n/m")</f>
        <v>n/m</v>
      </c>
      <c r="N77" s="781" t="str">
        <f>IF('P&amp;L'!N$3&gt;0,N76/'P&amp;L'!N$3,"n/m")</f>
        <v>n/m</v>
      </c>
      <c r="O77" s="781" t="str">
        <f>IF('P&amp;L'!O$3&gt;0,O76/'P&amp;L'!O$3,"n/m")</f>
        <v>n/m</v>
      </c>
      <c r="P77" s="781" t="str">
        <f>IF('P&amp;L'!P$3&gt;0,P76/'P&amp;L'!P$3,"n/m")</f>
        <v>n/m</v>
      </c>
      <c r="Q77" s="781" t="str">
        <f>IF('P&amp;L'!Q$3&gt;0,Q76/'P&amp;L'!Q$3,"n/m")</f>
        <v>n/m</v>
      </c>
      <c r="R77" s="781" t="str">
        <f>IF('P&amp;L'!R$3&gt;0,R76/'P&amp;L'!R$3,"n/m")</f>
        <v>n/m</v>
      </c>
      <c r="S77" s="781" t="str">
        <f>IF('P&amp;L'!S$3&gt;0,S76/'P&amp;L'!S$3,"n/m")</f>
        <v>n/m</v>
      </c>
      <c r="T77" s="933" t="str">
        <f>IF('P&amp;L'!T$3&gt;0,T76/'P&amp;L'!T$3,"n/m")</f>
        <v>n/m</v>
      </c>
      <c r="U77" s="781" t="str">
        <f>IF('P&amp;L'!U$3&gt;0,U76/'P&amp;L'!U$3,"n/m")</f>
        <v>n/m</v>
      </c>
      <c r="V77" s="781" t="str">
        <f>IF('P&amp;L'!V$3&gt;0,V76/'P&amp;L'!V$3,"n/m")</f>
        <v>n/m</v>
      </c>
      <c r="W77" s="781">
        <f>IF('P&amp;L'!W$3&gt;0,W76/'P&amp;L'!W$3,"n/m")</f>
        <v>0</v>
      </c>
      <c r="X77" s="781">
        <f>IF('P&amp;L'!X$3&gt;0,X76/'P&amp;L'!X$3,"n/m")</f>
        <v>0</v>
      </c>
      <c r="Y77" s="781">
        <f>IF('P&amp;L'!Y$3&gt;0,Y76/'P&amp;L'!Y$3,"n/m")</f>
        <v>0</v>
      </c>
      <c r="Z77" s="781">
        <f>IF('P&amp;L'!Z$3&gt;0,Z76/'P&amp;L'!Z$3,"n/m")</f>
        <v>0</v>
      </c>
      <c r="AA77" s="781">
        <f>IF('P&amp;L'!AA$3&gt;0,AA76/'P&amp;L'!AA$3,"n/m")</f>
        <v>0.26052227342549922</v>
      </c>
      <c r="AB77" s="781">
        <f>IF('P&amp;L'!AB$3&gt;0,AB76/'P&amp;L'!AB$3,"n/m")</f>
        <v>0</v>
      </c>
      <c r="AC77" s="781">
        <f>IF('P&amp;L'!AC$3&gt;0,AC76/'P&amp;L'!AC$3,"n/m")</f>
        <v>0</v>
      </c>
      <c r="AD77" s="781">
        <f>IF('P&amp;L'!AD$3&gt;0,AD76/'P&amp;L'!AD$3,"n/m")</f>
        <v>0</v>
      </c>
      <c r="AE77" s="781">
        <f>IF('P&amp;L'!AE$3&gt;0,AE76/'P&amp;L'!AE$3,"n/m")</f>
        <v>0</v>
      </c>
      <c r="AF77" s="781">
        <f>IF('P&amp;L'!AF$3&gt;0,AF76/'P&amp;L'!AF$3,"n/m")</f>
        <v>0</v>
      </c>
      <c r="AG77" s="933">
        <f>IF('P&amp;L'!AG$3&gt;0,AG76/'P&amp;L'!AG$3,"n/m")</f>
        <v>2.499042230277311E-2</v>
      </c>
      <c r="AH77" s="933">
        <f>IF('P&amp;L'!AH$3&gt;0,AH76/'P&amp;L'!AH$3,"n/m")</f>
        <v>6.1855578435676293E-4</v>
      </c>
      <c r="AI77" s="933">
        <f>IF('P&amp;L'!AI$3&gt;0,AI76/'P&amp;L'!AI$3,"n/m")</f>
        <v>3.2397105349511463E-4</v>
      </c>
      <c r="AJ77" s="933">
        <f>IF('P&amp;L'!AJ$3&gt;0,AJ76/'P&amp;L'!AJ$3,"n/m")</f>
        <v>1.9123976315513544E-4</v>
      </c>
      <c r="AK77" s="933">
        <f>IF('P&amp;L'!AK$3&gt;0,AK76/'P&amp;L'!AK$3,"n/m")</f>
        <v>1.2443582348888605E-4</v>
      </c>
      <c r="AL77" s="933">
        <f>IF('P&amp;L'!AL$3&gt;0,AL76/'P&amp;L'!AL$3,"n/m")</f>
        <v>9.4940549452335392E-5</v>
      </c>
      <c r="AM77" s="933">
        <f>IF('P&amp;L'!AM$3&gt;0,AM76/'P&amp;L'!AM$3,"n/m")</f>
        <v>8.0778197009587075E-5</v>
      </c>
      <c r="AN77" s="933">
        <f>IF('P&amp;L'!AN$3&gt;0,AN76/'P&amp;L'!AN$3,"n/m")</f>
        <v>7.0790172574576135E-5</v>
      </c>
      <c r="AO77" s="933">
        <f>IF('P&amp;L'!AO$3&gt;0,AO76/'P&amp;L'!AO$3,"n/m")</f>
        <v>6.3038343606165359E-5</v>
      </c>
    </row>
    <row r="78" spans="1:41" x14ac:dyDescent="0.2">
      <c r="A78" s="779"/>
      <c r="B78" s="772"/>
      <c r="C78" s="772"/>
      <c r="D78" s="772"/>
      <c r="E78" s="772"/>
      <c r="F78" s="772"/>
      <c r="G78" s="960"/>
      <c r="H78" s="781"/>
      <c r="I78" s="781"/>
      <c r="J78" s="781"/>
      <c r="K78" s="781"/>
      <c r="L78" s="781"/>
      <c r="M78" s="781"/>
      <c r="N78" s="781"/>
      <c r="O78" s="781"/>
      <c r="P78" s="781"/>
      <c r="Q78" s="781"/>
      <c r="R78" s="781"/>
      <c r="S78" s="781"/>
      <c r="T78" s="933"/>
      <c r="U78" s="781"/>
      <c r="V78" s="781"/>
      <c r="W78" s="781"/>
      <c r="X78" s="781"/>
      <c r="Y78" s="781"/>
      <c r="Z78" s="781"/>
      <c r="AA78" s="781"/>
      <c r="AB78" s="781"/>
      <c r="AC78" s="781"/>
      <c r="AD78" s="781"/>
      <c r="AE78" s="781"/>
      <c r="AF78" s="781"/>
      <c r="AG78" s="933"/>
      <c r="AH78" s="933"/>
      <c r="AI78" s="933"/>
      <c r="AJ78" s="933"/>
      <c r="AK78" s="933"/>
      <c r="AL78" s="933"/>
      <c r="AM78" s="933"/>
      <c r="AN78" s="933"/>
      <c r="AO78" s="933"/>
    </row>
    <row r="79" spans="1:41" x14ac:dyDescent="0.2">
      <c r="A79" s="769"/>
      <c r="B79" s="772"/>
      <c r="C79" s="772"/>
      <c r="D79" s="772"/>
      <c r="E79" s="772"/>
      <c r="F79" s="772"/>
      <c r="G79" s="960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928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73"/>
      <c r="AG79" s="928"/>
      <c r="AH79" s="928"/>
      <c r="AI79" s="928"/>
      <c r="AJ79" s="928"/>
      <c r="AK79" s="928"/>
      <c r="AL79" s="928"/>
      <c r="AM79" s="928"/>
      <c r="AN79" s="928"/>
      <c r="AO79" s="928"/>
    </row>
    <row r="80" spans="1:41" x14ac:dyDescent="0.2">
      <c r="A80" s="774" t="s">
        <v>13</v>
      </c>
      <c r="B80" s="772"/>
      <c r="C80" s="772"/>
      <c r="D80" s="772"/>
      <c r="E80" s="772"/>
      <c r="F80" s="772"/>
      <c r="G80" s="960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96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75"/>
      <c r="AF80" s="775"/>
      <c r="AG80" s="950"/>
      <c r="AH80" s="777"/>
      <c r="AI80" s="777"/>
      <c r="AJ80" s="777"/>
      <c r="AK80" s="777"/>
      <c r="AL80" s="777"/>
      <c r="AM80" s="777"/>
      <c r="AN80" s="777"/>
      <c r="AO80" s="777"/>
    </row>
    <row r="81" spans="1:41" x14ac:dyDescent="0.2">
      <c r="A81" s="797" t="s">
        <v>388</v>
      </c>
      <c r="B81" s="15"/>
      <c r="C81" s="800">
        <v>0</v>
      </c>
      <c r="D81" s="800">
        <v>1</v>
      </c>
      <c r="E81" s="800">
        <v>0</v>
      </c>
      <c r="F81" s="800">
        <v>0</v>
      </c>
      <c r="G81" s="961">
        <f>SUM(C81:F81)</f>
        <v>1</v>
      </c>
      <c r="H81" s="800">
        <v>0</v>
      </c>
      <c r="I81" s="800">
        <v>0</v>
      </c>
      <c r="J81" s="800">
        <v>0</v>
      </c>
      <c r="K81" s="800">
        <v>0</v>
      </c>
      <c r="L81" s="800">
        <v>0</v>
      </c>
      <c r="M81" s="800">
        <v>0</v>
      </c>
      <c r="N81" s="800">
        <v>0</v>
      </c>
      <c r="O81" s="800">
        <v>0</v>
      </c>
      <c r="P81" s="800">
        <v>0</v>
      </c>
      <c r="Q81" s="800">
        <v>0</v>
      </c>
      <c r="R81" s="800">
        <v>0</v>
      </c>
      <c r="S81" s="800">
        <v>0</v>
      </c>
      <c r="T81" s="951">
        <f>SUM(H81:S81)</f>
        <v>0</v>
      </c>
      <c r="U81" s="800">
        <v>0</v>
      </c>
      <c r="V81" s="800">
        <v>0</v>
      </c>
      <c r="W81" s="800">
        <v>0</v>
      </c>
      <c r="X81" s="800">
        <v>0</v>
      </c>
      <c r="Y81" s="800">
        <v>0</v>
      </c>
      <c r="Z81" s="800">
        <v>0</v>
      </c>
      <c r="AA81" s="800">
        <v>0</v>
      </c>
      <c r="AB81" s="800">
        <v>0</v>
      </c>
      <c r="AC81" s="800">
        <v>0</v>
      </c>
      <c r="AD81" s="800">
        <v>0</v>
      </c>
      <c r="AE81" s="800">
        <v>0</v>
      </c>
      <c r="AF81" s="800">
        <v>0</v>
      </c>
      <c r="AG81" s="951">
        <f>SUM(U81:AF81)</f>
        <v>0</v>
      </c>
      <c r="AH81" s="935">
        <v>0</v>
      </c>
      <c r="AI81" s="935">
        <v>0</v>
      </c>
      <c r="AJ81" s="935">
        <v>0</v>
      </c>
      <c r="AK81" s="935">
        <v>0</v>
      </c>
      <c r="AL81" s="935">
        <v>0</v>
      </c>
      <c r="AM81" s="935">
        <v>0</v>
      </c>
      <c r="AN81" s="935">
        <v>0</v>
      </c>
      <c r="AO81" s="935">
        <v>0</v>
      </c>
    </row>
    <row r="82" spans="1:41" x14ac:dyDescent="0.2">
      <c r="A82" s="797" t="s">
        <v>482</v>
      </c>
      <c r="B82" s="15"/>
      <c r="C82" s="798">
        <v>0</v>
      </c>
      <c r="D82" s="798">
        <f>C82</f>
        <v>0</v>
      </c>
      <c r="E82" s="798">
        <f t="shared" ref="E82:AJ88" si="99">D82</f>
        <v>0</v>
      </c>
      <c r="F82" s="798">
        <f t="shared" si="99"/>
        <v>0</v>
      </c>
      <c r="G82" s="814">
        <f t="shared" si="99"/>
        <v>0</v>
      </c>
      <c r="H82" s="798">
        <f t="shared" si="99"/>
        <v>0</v>
      </c>
      <c r="I82" s="798">
        <f t="shared" si="99"/>
        <v>0</v>
      </c>
      <c r="J82" s="798">
        <f t="shared" si="99"/>
        <v>0</v>
      </c>
      <c r="K82" s="798">
        <f t="shared" si="99"/>
        <v>0</v>
      </c>
      <c r="L82" s="798">
        <f t="shared" si="99"/>
        <v>0</v>
      </c>
      <c r="M82" s="798">
        <f t="shared" si="99"/>
        <v>0</v>
      </c>
      <c r="N82" s="798">
        <f t="shared" si="99"/>
        <v>0</v>
      </c>
      <c r="O82" s="798">
        <f t="shared" si="99"/>
        <v>0</v>
      </c>
      <c r="P82" s="798">
        <f t="shared" si="99"/>
        <v>0</v>
      </c>
      <c r="Q82" s="798">
        <f t="shared" si="99"/>
        <v>0</v>
      </c>
      <c r="R82" s="798">
        <f t="shared" si="99"/>
        <v>0</v>
      </c>
      <c r="S82" s="798">
        <f t="shared" si="99"/>
        <v>0</v>
      </c>
      <c r="T82" s="934">
        <f t="shared" si="99"/>
        <v>0</v>
      </c>
      <c r="U82" s="798">
        <f t="shared" si="99"/>
        <v>0</v>
      </c>
      <c r="V82" s="798">
        <f t="shared" si="99"/>
        <v>0</v>
      </c>
      <c r="W82" s="798">
        <f t="shared" si="99"/>
        <v>0</v>
      </c>
      <c r="X82" s="798">
        <f t="shared" si="99"/>
        <v>0</v>
      </c>
      <c r="Y82" s="798">
        <f t="shared" si="99"/>
        <v>0</v>
      </c>
      <c r="Z82" s="798">
        <f t="shared" si="99"/>
        <v>0</v>
      </c>
      <c r="AA82" s="798">
        <f t="shared" si="99"/>
        <v>0</v>
      </c>
      <c r="AB82" s="798">
        <f t="shared" si="99"/>
        <v>0</v>
      </c>
      <c r="AC82" s="798">
        <f t="shared" si="99"/>
        <v>0</v>
      </c>
      <c r="AD82" s="798">
        <f t="shared" si="99"/>
        <v>0</v>
      </c>
      <c r="AE82" s="798">
        <f t="shared" si="99"/>
        <v>0</v>
      </c>
      <c r="AF82" s="798">
        <f t="shared" si="99"/>
        <v>0</v>
      </c>
      <c r="AG82" s="934">
        <f t="shared" si="99"/>
        <v>0</v>
      </c>
      <c r="AH82" s="934">
        <f t="shared" si="99"/>
        <v>0</v>
      </c>
      <c r="AI82" s="934">
        <f t="shared" si="99"/>
        <v>0</v>
      </c>
      <c r="AJ82" s="934">
        <f t="shared" si="99"/>
        <v>0</v>
      </c>
      <c r="AK82" s="934">
        <f t="shared" ref="AK82:AO82" si="100">AJ82</f>
        <v>0</v>
      </c>
      <c r="AL82" s="934">
        <f t="shared" si="100"/>
        <v>0</v>
      </c>
      <c r="AM82" s="934">
        <f t="shared" si="100"/>
        <v>0</v>
      </c>
      <c r="AN82" s="934">
        <f t="shared" si="100"/>
        <v>0</v>
      </c>
      <c r="AO82" s="934">
        <f t="shared" si="100"/>
        <v>0</v>
      </c>
    </row>
    <row r="83" spans="1:41" x14ac:dyDescent="0.2">
      <c r="A83" s="797" t="s">
        <v>483</v>
      </c>
      <c r="B83" s="15"/>
      <c r="C83" s="798">
        <v>1000</v>
      </c>
      <c r="D83" s="798">
        <f t="shared" ref="D83:S88" si="101">C83</f>
        <v>1000</v>
      </c>
      <c r="E83" s="798">
        <f t="shared" si="101"/>
        <v>1000</v>
      </c>
      <c r="F83" s="798">
        <f t="shared" si="101"/>
        <v>1000</v>
      </c>
      <c r="G83" s="814">
        <f t="shared" si="101"/>
        <v>1000</v>
      </c>
      <c r="H83" s="798">
        <f t="shared" si="101"/>
        <v>1000</v>
      </c>
      <c r="I83" s="798">
        <f t="shared" si="101"/>
        <v>1000</v>
      </c>
      <c r="J83" s="798">
        <f t="shared" si="101"/>
        <v>1000</v>
      </c>
      <c r="K83" s="798">
        <f t="shared" si="101"/>
        <v>1000</v>
      </c>
      <c r="L83" s="798">
        <f t="shared" si="101"/>
        <v>1000</v>
      </c>
      <c r="M83" s="798">
        <f t="shared" si="101"/>
        <v>1000</v>
      </c>
      <c r="N83" s="798">
        <f t="shared" si="101"/>
        <v>1000</v>
      </c>
      <c r="O83" s="798">
        <f t="shared" si="101"/>
        <v>1000</v>
      </c>
      <c r="P83" s="798">
        <f t="shared" si="101"/>
        <v>1000</v>
      </c>
      <c r="Q83" s="798">
        <f t="shared" si="101"/>
        <v>1000</v>
      </c>
      <c r="R83" s="798">
        <f t="shared" si="101"/>
        <v>1000</v>
      </c>
      <c r="S83" s="798">
        <f t="shared" si="101"/>
        <v>1000</v>
      </c>
      <c r="T83" s="934">
        <f t="shared" si="99"/>
        <v>1000</v>
      </c>
      <c r="U83" s="798">
        <f t="shared" si="99"/>
        <v>1000</v>
      </c>
      <c r="V83" s="798">
        <f t="shared" si="99"/>
        <v>1000</v>
      </c>
      <c r="W83" s="798">
        <f t="shared" si="99"/>
        <v>1000</v>
      </c>
      <c r="X83" s="798">
        <f t="shared" si="99"/>
        <v>1000</v>
      </c>
      <c r="Y83" s="798">
        <f t="shared" si="99"/>
        <v>1000</v>
      </c>
      <c r="Z83" s="798">
        <f t="shared" si="99"/>
        <v>1000</v>
      </c>
      <c r="AA83" s="798">
        <f t="shared" si="99"/>
        <v>1000</v>
      </c>
      <c r="AB83" s="798">
        <f t="shared" si="99"/>
        <v>1000</v>
      </c>
      <c r="AC83" s="798">
        <f t="shared" si="99"/>
        <v>1000</v>
      </c>
      <c r="AD83" s="798">
        <f t="shared" si="99"/>
        <v>1000</v>
      </c>
      <c r="AE83" s="798">
        <f t="shared" si="99"/>
        <v>1000</v>
      </c>
      <c r="AF83" s="798">
        <f t="shared" si="99"/>
        <v>1000</v>
      </c>
      <c r="AG83" s="934">
        <f t="shared" si="99"/>
        <v>1000</v>
      </c>
      <c r="AH83" s="934">
        <f t="shared" si="99"/>
        <v>1000</v>
      </c>
      <c r="AI83" s="934">
        <f t="shared" si="99"/>
        <v>1000</v>
      </c>
      <c r="AJ83" s="934">
        <f t="shared" si="99"/>
        <v>1000</v>
      </c>
      <c r="AK83" s="934">
        <f t="shared" ref="AK83:AO83" si="102">AJ83</f>
        <v>1000</v>
      </c>
      <c r="AL83" s="934">
        <f t="shared" si="102"/>
        <v>1000</v>
      </c>
      <c r="AM83" s="934">
        <f t="shared" si="102"/>
        <v>1000</v>
      </c>
      <c r="AN83" s="934">
        <f t="shared" si="102"/>
        <v>1000</v>
      </c>
      <c r="AO83" s="934">
        <f t="shared" si="102"/>
        <v>1000</v>
      </c>
    </row>
    <row r="84" spans="1:41" x14ac:dyDescent="0.2">
      <c r="A84" s="797" t="s">
        <v>484</v>
      </c>
      <c r="B84" s="15"/>
      <c r="C84" s="798">
        <v>1800</v>
      </c>
      <c r="D84" s="798">
        <f t="shared" si="101"/>
        <v>1800</v>
      </c>
      <c r="E84" s="798">
        <f t="shared" si="99"/>
        <v>1800</v>
      </c>
      <c r="F84" s="798">
        <f t="shared" si="99"/>
        <v>1800</v>
      </c>
      <c r="G84" s="814">
        <f t="shared" si="99"/>
        <v>1800</v>
      </c>
      <c r="H84" s="798">
        <f t="shared" si="99"/>
        <v>1800</v>
      </c>
      <c r="I84" s="798">
        <f t="shared" si="99"/>
        <v>1800</v>
      </c>
      <c r="J84" s="798">
        <f t="shared" si="99"/>
        <v>1800</v>
      </c>
      <c r="K84" s="798">
        <f t="shared" si="99"/>
        <v>1800</v>
      </c>
      <c r="L84" s="798">
        <f t="shared" si="99"/>
        <v>1800</v>
      </c>
      <c r="M84" s="798">
        <f t="shared" si="99"/>
        <v>1800</v>
      </c>
      <c r="N84" s="798">
        <f t="shared" si="99"/>
        <v>1800</v>
      </c>
      <c r="O84" s="798">
        <f t="shared" si="99"/>
        <v>1800</v>
      </c>
      <c r="P84" s="798">
        <f t="shared" si="99"/>
        <v>1800</v>
      </c>
      <c r="Q84" s="798">
        <f t="shared" si="99"/>
        <v>1800</v>
      </c>
      <c r="R84" s="798">
        <f t="shared" si="99"/>
        <v>1800</v>
      </c>
      <c r="S84" s="798">
        <f t="shared" si="99"/>
        <v>1800</v>
      </c>
      <c r="T84" s="934">
        <f t="shared" si="99"/>
        <v>1800</v>
      </c>
      <c r="U84" s="798">
        <f t="shared" si="99"/>
        <v>1800</v>
      </c>
      <c r="V84" s="798">
        <f t="shared" si="99"/>
        <v>1800</v>
      </c>
      <c r="W84" s="798">
        <f t="shared" si="99"/>
        <v>1800</v>
      </c>
      <c r="X84" s="798">
        <f t="shared" si="99"/>
        <v>1800</v>
      </c>
      <c r="Y84" s="798">
        <f t="shared" si="99"/>
        <v>1800</v>
      </c>
      <c r="Z84" s="798">
        <f t="shared" si="99"/>
        <v>1800</v>
      </c>
      <c r="AA84" s="798">
        <f t="shared" si="99"/>
        <v>1800</v>
      </c>
      <c r="AB84" s="798">
        <f t="shared" si="99"/>
        <v>1800</v>
      </c>
      <c r="AC84" s="798">
        <f t="shared" si="99"/>
        <v>1800</v>
      </c>
      <c r="AD84" s="798">
        <f t="shared" si="99"/>
        <v>1800</v>
      </c>
      <c r="AE84" s="798">
        <f t="shared" si="99"/>
        <v>1800</v>
      </c>
      <c r="AF84" s="798">
        <f t="shared" si="99"/>
        <v>1800</v>
      </c>
      <c r="AG84" s="934">
        <f t="shared" si="99"/>
        <v>1800</v>
      </c>
      <c r="AH84" s="934">
        <f t="shared" si="99"/>
        <v>1800</v>
      </c>
      <c r="AI84" s="934">
        <f t="shared" si="99"/>
        <v>1800</v>
      </c>
      <c r="AJ84" s="934">
        <f t="shared" si="99"/>
        <v>1800</v>
      </c>
      <c r="AK84" s="934">
        <f t="shared" ref="AK84:AO84" si="103">AJ84</f>
        <v>1800</v>
      </c>
      <c r="AL84" s="934">
        <f t="shared" si="103"/>
        <v>1800</v>
      </c>
      <c r="AM84" s="934">
        <f t="shared" si="103"/>
        <v>1800</v>
      </c>
      <c r="AN84" s="934">
        <f t="shared" si="103"/>
        <v>1800</v>
      </c>
      <c r="AO84" s="934">
        <f t="shared" si="103"/>
        <v>1800</v>
      </c>
    </row>
    <row r="85" spans="1:41" x14ac:dyDescent="0.2">
      <c r="A85" s="797" t="s">
        <v>486</v>
      </c>
      <c r="B85" s="15"/>
      <c r="C85" s="798">
        <v>0</v>
      </c>
      <c r="D85" s="798">
        <f t="shared" si="101"/>
        <v>0</v>
      </c>
      <c r="E85" s="798">
        <f t="shared" si="99"/>
        <v>0</v>
      </c>
      <c r="F85" s="798">
        <f t="shared" si="99"/>
        <v>0</v>
      </c>
      <c r="G85" s="814">
        <f t="shared" si="99"/>
        <v>0</v>
      </c>
      <c r="H85" s="798">
        <f t="shared" si="99"/>
        <v>0</v>
      </c>
      <c r="I85" s="798">
        <f t="shared" si="99"/>
        <v>0</v>
      </c>
      <c r="J85" s="798">
        <f t="shared" si="99"/>
        <v>0</v>
      </c>
      <c r="K85" s="798">
        <f t="shared" si="99"/>
        <v>0</v>
      </c>
      <c r="L85" s="798">
        <f t="shared" si="99"/>
        <v>0</v>
      </c>
      <c r="M85" s="798">
        <f t="shared" si="99"/>
        <v>0</v>
      </c>
      <c r="N85" s="798">
        <f t="shared" si="99"/>
        <v>0</v>
      </c>
      <c r="O85" s="798">
        <f t="shared" si="99"/>
        <v>0</v>
      </c>
      <c r="P85" s="798">
        <f t="shared" si="99"/>
        <v>0</v>
      </c>
      <c r="Q85" s="798">
        <f t="shared" si="99"/>
        <v>0</v>
      </c>
      <c r="R85" s="798">
        <f t="shared" si="99"/>
        <v>0</v>
      </c>
      <c r="S85" s="798">
        <f t="shared" si="99"/>
        <v>0</v>
      </c>
      <c r="T85" s="934">
        <f t="shared" si="99"/>
        <v>0</v>
      </c>
      <c r="U85" s="798">
        <f t="shared" si="99"/>
        <v>0</v>
      </c>
      <c r="V85" s="798">
        <f t="shared" si="99"/>
        <v>0</v>
      </c>
      <c r="W85" s="798">
        <f t="shared" si="99"/>
        <v>0</v>
      </c>
      <c r="X85" s="798">
        <f t="shared" si="99"/>
        <v>0</v>
      </c>
      <c r="Y85" s="798">
        <f t="shared" si="99"/>
        <v>0</v>
      </c>
      <c r="Z85" s="798">
        <f t="shared" si="99"/>
        <v>0</v>
      </c>
      <c r="AA85" s="798">
        <f t="shared" si="99"/>
        <v>0</v>
      </c>
      <c r="AB85" s="798">
        <f t="shared" si="99"/>
        <v>0</v>
      </c>
      <c r="AC85" s="798">
        <f t="shared" si="99"/>
        <v>0</v>
      </c>
      <c r="AD85" s="798">
        <f t="shared" si="99"/>
        <v>0</v>
      </c>
      <c r="AE85" s="798">
        <f t="shared" si="99"/>
        <v>0</v>
      </c>
      <c r="AF85" s="798">
        <f t="shared" si="99"/>
        <v>0</v>
      </c>
      <c r="AG85" s="934">
        <f t="shared" si="99"/>
        <v>0</v>
      </c>
      <c r="AH85" s="934">
        <f t="shared" si="99"/>
        <v>0</v>
      </c>
      <c r="AI85" s="934">
        <f t="shared" si="99"/>
        <v>0</v>
      </c>
      <c r="AJ85" s="934">
        <f t="shared" si="99"/>
        <v>0</v>
      </c>
      <c r="AK85" s="934">
        <f t="shared" ref="AK85:AO85" si="104">AJ85</f>
        <v>0</v>
      </c>
      <c r="AL85" s="934">
        <f t="shared" si="104"/>
        <v>0</v>
      </c>
      <c r="AM85" s="934">
        <f t="shared" si="104"/>
        <v>0</v>
      </c>
      <c r="AN85" s="934">
        <f t="shared" si="104"/>
        <v>0</v>
      </c>
      <c r="AO85" s="934">
        <f t="shared" si="104"/>
        <v>0</v>
      </c>
    </row>
    <row r="86" spans="1:41" x14ac:dyDescent="0.2">
      <c r="A86" s="797" t="s">
        <v>485</v>
      </c>
      <c r="B86" s="15"/>
      <c r="C86" s="798">
        <v>500</v>
      </c>
      <c r="D86" s="798">
        <f t="shared" si="101"/>
        <v>500</v>
      </c>
      <c r="E86" s="798">
        <f t="shared" si="99"/>
        <v>500</v>
      </c>
      <c r="F86" s="798">
        <f t="shared" si="99"/>
        <v>500</v>
      </c>
      <c r="G86" s="814">
        <f t="shared" si="99"/>
        <v>500</v>
      </c>
      <c r="H86" s="798">
        <f t="shared" si="99"/>
        <v>500</v>
      </c>
      <c r="I86" s="798">
        <f t="shared" si="99"/>
        <v>500</v>
      </c>
      <c r="J86" s="798">
        <f t="shared" si="99"/>
        <v>500</v>
      </c>
      <c r="K86" s="798">
        <f t="shared" si="99"/>
        <v>500</v>
      </c>
      <c r="L86" s="798">
        <f t="shared" si="99"/>
        <v>500</v>
      </c>
      <c r="M86" s="798">
        <f t="shared" si="99"/>
        <v>500</v>
      </c>
      <c r="N86" s="798">
        <f t="shared" si="99"/>
        <v>500</v>
      </c>
      <c r="O86" s="798">
        <f t="shared" si="99"/>
        <v>500</v>
      </c>
      <c r="P86" s="798">
        <f t="shared" si="99"/>
        <v>500</v>
      </c>
      <c r="Q86" s="798">
        <f t="shared" si="99"/>
        <v>500</v>
      </c>
      <c r="R86" s="798">
        <f t="shared" si="99"/>
        <v>500</v>
      </c>
      <c r="S86" s="798">
        <f t="shared" si="99"/>
        <v>500</v>
      </c>
      <c r="T86" s="934">
        <f t="shared" si="99"/>
        <v>500</v>
      </c>
      <c r="U86" s="798">
        <f t="shared" si="99"/>
        <v>500</v>
      </c>
      <c r="V86" s="798">
        <f t="shared" si="99"/>
        <v>500</v>
      </c>
      <c r="W86" s="798">
        <f t="shared" si="99"/>
        <v>500</v>
      </c>
      <c r="X86" s="798">
        <f t="shared" si="99"/>
        <v>500</v>
      </c>
      <c r="Y86" s="798">
        <f t="shared" si="99"/>
        <v>500</v>
      </c>
      <c r="Z86" s="798">
        <f t="shared" si="99"/>
        <v>500</v>
      </c>
      <c r="AA86" s="798">
        <f t="shared" si="99"/>
        <v>500</v>
      </c>
      <c r="AB86" s="798">
        <f t="shared" si="99"/>
        <v>500</v>
      </c>
      <c r="AC86" s="798">
        <f t="shared" si="99"/>
        <v>500</v>
      </c>
      <c r="AD86" s="798">
        <f t="shared" si="99"/>
        <v>500</v>
      </c>
      <c r="AE86" s="798">
        <f t="shared" si="99"/>
        <v>500</v>
      </c>
      <c r="AF86" s="798">
        <f t="shared" si="99"/>
        <v>500</v>
      </c>
      <c r="AG86" s="934">
        <f t="shared" si="99"/>
        <v>500</v>
      </c>
      <c r="AH86" s="934">
        <f t="shared" si="99"/>
        <v>500</v>
      </c>
      <c r="AI86" s="934">
        <f t="shared" si="99"/>
        <v>500</v>
      </c>
      <c r="AJ86" s="934">
        <f t="shared" si="99"/>
        <v>500</v>
      </c>
      <c r="AK86" s="934">
        <f t="shared" ref="AK86:AO86" si="105">AJ86</f>
        <v>500</v>
      </c>
      <c r="AL86" s="934">
        <f t="shared" si="105"/>
        <v>500</v>
      </c>
      <c r="AM86" s="934">
        <f t="shared" si="105"/>
        <v>500</v>
      </c>
      <c r="AN86" s="934">
        <f t="shared" si="105"/>
        <v>500</v>
      </c>
      <c r="AO86" s="934">
        <f t="shared" si="105"/>
        <v>500</v>
      </c>
    </row>
    <row r="87" spans="1:41" x14ac:dyDescent="0.2">
      <c r="A87" s="797" t="s">
        <v>487</v>
      </c>
      <c r="B87" s="15"/>
      <c r="C87" s="798">
        <v>900</v>
      </c>
      <c r="D87" s="798">
        <f t="shared" si="101"/>
        <v>900</v>
      </c>
      <c r="E87" s="798">
        <f t="shared" si="99"/>
        <v>900</v>
      </c>
      <c r="F87" s="798">
        <f t="shared" si="99"/>
        <v>900</v>
      </c>
      <c r="G87" s="814">
        <f t="shared" si="99"/>
        <v>900</v>
      </c>
      <c r="H87" s="798">
        <f t="shared" si="99"/>
        <v>900</v>
      </c>
      <c r="I87" s="798">
        <f t="shared" si="99"/>
        <v>900</v>
      </c>
      <c r="J87" s="798">
        <f t="shared" si="99"/>
        <v>900</v>
      </c>
      <c r="K87" s="798">
        <f t="shared" si="99"/>
        <v>900</v>
      </c>
      <c r="L87" s="798">
        <f t="shared" si="99"/>
        <v>900</v>
      </c>
      <c r="M87" s="798">
        <f t="shared" si="99"/>
        <v>900</v>
      </c>
      <c r="N87" s="798">
        <f t="shared" si="99"/>
        <v>900</v>
      </c>
      <c r="O87" s="798">
        <f t="shared" si="99"/>
        <v>900</v>
      </c>
      <c r="P87" s="798">
        <f t="shared" si="99"/>
        <v>900</v>
      </c>
      <c r="Q87" s="798">
        <f t="shared" si="99"/>
        <v>900</v>
      </c>
      <c r="R87" s="798">
        <f t="shared" si="99"/>
        <v>900</v>
      </c>
      <c r="S87" s="798">
        <f t="shared" si="99"/>
        <v>900</v>
      </c>
      <c r="T87" s="934">
        <f t="shared" si="99"/>
        <v>900</v>
      </c>
      <c r="U87" s="798">
        <f t="shared" si="99"/>
        <v>900</v>
      </c>
      <c r="V87" s="798">
        <f t="shared" si="99"/>
        <v>900</v>
      </c>
      <c r="W87" s="798">
        <f t="shared" si="99"/>
        <v>900</v>
      </c>
      <c r="X87" s="798">
        <f t="shared" si="99"/>
        <v>900</v>
      </c>
      <c r="Y87" s="798">
        <f t="shared" si="99"/>
        <v>900</v>
      </c>
      <c r="Z87" s="798">
        <f t="shared" si="99"/>
        <v>900</v>
      </c>
      <c r="AA87" s="798">
        <f t="shared" si="99"/>
        <v>900</v>
      </c>
      <c r="AB87" s="798">
        <f t="shared" si="99"/>
        <v>900</v>
      </c>
      <c r="AC87" s="798">
        <f t="shared" si="99"/>
        <v>900</v>
      </c>
      <c r="AD87" s="798">
        <f t="shared" si="99"/>
        <v>900</v>
      </c>
      <c r="AE87" s="798">
        <f t="shared" si="99"/>
        <v>900</v>
      </c>
      <c r="AF87" s="798">
        <f t="shared" si="99"/>
        <v>900</v>
      </c>
      <c r="AG87" s="934">
        <f t="shared" si="99"/>
        <v>900</v>
      </c>
      <c r="AH87" s="934">
        <f t="shared" si="99"/>
        <v>900</v>
      </c>
      <c r="AI87" s="934">
        <f t="shared" si="99"/>
        <v>900</v>
      </c>
      <c r="AJ87" s="934">
        <f t="shared" si="99"/>
        <v>900</v>
      </c>
      <c r="AK87" s="934">
        <f t="shared" ref="AK87:AO87" si="106">AJ87</f>
        <v>900</v>
      </c>
      <c r="AL87" s="934">
        <f t="shared" si="106"/>
        <v>900</v>
      </c>
      <c r="AM87" s="934">
        <f t="shared" si="106"/>
        <v>900</v>
      </c>
      <c r="AN87" s="934">
        <f t="shared" si="106"/>
        <v>900</v>
      </c>
      <c r="AO87" s="934">
        <f t="shared" si="106"/>
        <v>900</v>
      </c>
    </row>
    <row r="88" spans="1:41" x14ac:dyDescent="0.2">
      <c r="A88" s="797" t="s">
        <v>488</v>
      </c>
      <c r="B88" s="15"/>
      <c r="C88" s="798">
        <v>2100</v>
      </c>
      <c r="D88" s="798">
        <f t="shared" si="101"/>
        <v>2100</v>
      </c>
      <c r="E88" s="798">
        <f t="shared" si="99"/>
        <v>2100</v>
      </c>
      <c r="F88" s="798">
        <f t="shared" si="99"/>
        <v>2100</v>
      </c>
      <c r="G88" s="814">
        <f t="shared" si="99"/>
        <v>2100</v>
      </c>
      <c r="H88" s="798">
        <f t="shared" si="99"/>
        <v>2100</v>
      </c>
      <c r="I88" s="798">
        <f t="shared" si="99"/>
        <v>2100</v>
      </c>
      <c r="J88" s="798">
        <f t="shared" si="99"/>
        <v>2100</v>
      </c>
      <c r="K88" s="798">
        <f t="shared" si="99"/>
        <v>2100</v>
      </c>
      <c r="L88" s="798">
        <f t="shared" si="99"/>
        <v>2100</v>
      </c>
      <c r="M88" s="798">
        <f t="shared" si="99"/>
        <v>2100</v>
      </c>
      <c r="N88" s="798">
        <f t="shared" si="99"/>
        <v>2100</v>
      </c>
      <c r="O88" s="798">
        <f t="shared" si="99"/>
        <v>2100</v>
      </c>
      <c r="P88" s="798">
        <f t="shared" si="99"/>
        <v>2100</v>
      </c>
      <c r="Q88" s="798">
        <f t="shared" si="99"/>
        <v>2100</v>
      </c>
      <c r="R88" s="798">
        <f t="shared" si="99"/>
        <v>2100</v>
      </c>
      <c r="S88" s="798">
        <f t="shared" si="99"/>
        <v>2100</v>
      </c>
      <c r="T88" s="934">
        <f t="shared" si="99"/>
        <v>2100</v>
      </c>
      <c r="U88" s="798">
        <f t="shared" si="99"/>
        <v>2100</v>
      </c>
      <c r="V88" s="798">
        <f t="shared" si="99"/>
        <v>2100</v>
      </c>
      <c r="W88" s="798">
        <f t="shared" si="99"/>
        <v>2100</v>
      </c>
      <c r="X88" s="798">
        <f t="shared" si="99"/>
        <v>2100</v>
      </c>
      <c r="Y88" s="798">
        <f t="shared" si="99"/>
        <v>2100</v>
      </c>
      <c r="Z88" s="798">
        <f t="shared" si="99"/>
        <v>2100</v>
      </c>
      <c r="AA88" s="798">
        <f t="shared" si="99"/>
        <v>2100</v>
      </c>
      <c r="AB88" s="798">
        <f t="shared" si="99"/>
        <v>2100</v>
      </c>
      <c r="AC88" s="798">
        <f t="shared" si="99"/>
        <v>2100</v>
      </c>
      <c r="AD88" s="798">
        <f t="shared" si="99"/>
        <v>2100</v>
      </c>
      <c r="AE88" s="798">
        <f t="shared" si="99"/>
        <v>2100</v>
      </c>
      <c r="AF88" s="798">
        <f t="shared" si="99"/>
        <v>2100</v>
      </c>
      <c r="AG88" s="934">
        <f t="shared" si="99"/>
        <v>2100</v>
      </c>
      <c r="AH88" s="934">
        <f t="shared" si="99"/>
        <v>2100</v>
      </c>
      <c r="AI88" s="934">
        <f t="shared" si="99"/>
        <v>2100</v>
      </c>
      <c r="AJ88" s="934">
        <f t="shared" si="99"/>
        <v>2100</v>
      </c>
      <c r="AK88" s="934">
        <f t="shared" ref="AK88:AO88" si="107">AJ88</f>
        <v>2100</v>
      </c>
      <c r="AL88" s="934">
        <f t="shared" si="107"/>
        <v>2100</v>
      </c>
      <c r="AM88" s="934">
        <f t="shared" si="107"/>
        <v>2100</v>
      </c>
      <c r="AN88" s="934">
        <f t="shared" si="107"/>
        <v>2100</v>
      </c>
      <c r="AO88" s="934">
        <f t="shared" si="107"/>
        <v>2100</v>
      </c>
    </row>
    <row r="89" spans="1:41" s="811" customFormat="1" x14ac:dyDescent="0.2">
      <c r="A89" s="974" t="s">
        <v>490</v>
      </c>
      <c r="B89" s="975"/>
      <c r="C89" s="976">
        <f>SUM(C82:C88)</f>
        <v>6300</v>
      </c>
      <c r="D89" s="976">
        <f>C89</f>
        <v>6300</v>
      </c>
      <c r="E89" s="976">
        <f t="shared" ref="E89:AJ90" si="108">D89</f>
        <v>6300</v>
      </c>
      <c r="F89" s="976">
        <f t="shared" si="108"/>
        <v>6300</v>
      </c>
      <c r="G89" s="977">
        <f t="shared" si="108"/>
        <v>6300</v>
      </c>
      <c r="H89" s="976">
        <f t="shared" si="108"/>
        <v>6300</v>
      </c>
      <c r="I89" s="976">
        <f t="shared" si="108"/>
        <v>6300</v>
      </c>
      <c r="J89" s="976">
        <f t="shared" si="108"/>
        <v>6300</v>
      </c>
      <c r="K89" s="976">
        <f t="shared" si="108"/>
        <v>6300</v>
      </c>
      <c r="L89" s="976">
        <f t="shared" si="108"/>
        <v>6300</v>
      </c>
      <c r="M89" s="976">
        <f t="shared" si="108"/>
        <v>6300</v>
      </c>
      <c r="N89" s="976">
        <f t="shared" si="108"/>
        <v>6300</v>
      </c>
      <c r="O89" s="976">
        <f t="shared" si="108"/>
        <v>6300</v>
      </c>
      <c r="P89" s="976">
        <f t="shared" si="108"/>
        <v>6300</v>
      </c>
      <c r="Q89" s="976">
        <f t="shared" si="108"/>
        <v>6300</v>
      </c>
      <c r="R89" s="976">
        <f t="shared" si="108"/>
        <v>6300</v>
      </c>
      <c r="S89" s="976">
        <f t="shared" si="108"/>
        <v>6300</v>
      </c>
      <c r="T89" s="978">
        <f t="shared" si="108"/>
        <v>6300</v>
      </c>
      <c r="U89" s="976">
        <f t="shared" si="108"/>
        <v>6300</v>
      </c>
      <c r="V89" s="976">
        <f t="shared" si="108"/>
        <v>6300</v>
      </c>
      <c r="W89" s="976">
        <f t="shared" si="108"/>
        <v>6300</v>
      </c>
      <c r="X89" s="976">
        <f t="shared" si="108"/>
        <v>6300</v>
      </c>
      <c r="Y89" s="976">
        <f t="shared" si="108"/>
        <v>6300</v>
      </c>
      <c r="Z89" s="976">
        <f t="shared" si="108"/>
        <v>6300</v>
      </c>
      <c r="AA89" s="976">
        <f t="shared" si="108"/>
        <v>6300</v>
      </c>
      <c r="AB89" s="976">
        <f t="shared" si="108"/>
        <v>6300</v>
      </c>
      <c r="AC89" s="976">
        <f t="shared" si="108"/>
        <v>6300</v>
      </c>
      <c r="AD89" s="976">
        <f t="shared" si="108"/>
        <v>6300</v>
      </c>
      <c r="AE89" s="976">
        <f t="shared" si="108"/>
        <v>6300</v>
      </c>
      <c r="AF89" s="976">
        <f t="shared" si="108"/>
        <v>6300</v>
      </c>
      <c r="AG89" s="978">
        <f t="shared" si="108"/>
        <v>6300</v>
      </c>
      <c r="AH89" s="978">
        <f t="shared" si="108"/>
        <v>6300</v>
      </c>
      <c r="AI89" s="978">
        <f t="shared" si="108"/>
        <v>6300</v>
      </c>
      <c r="AJ89" s="978">
        <f t="shared" si="108"/>
        <v>6300</v>
      </c>
      <c r="AK89" s="978">
        <f t="shared" ref="AK89:AO89" si="109">AJ89</f>
        <v>6300</v>
      </c>
      <c r="AL89" s="978">
        <f t="shared" si="109"/>
        <v>6300</v>
      </c>
      <c r="AM89" s="978">
        <f t="shared" si="109"/>
        <v>6300</v>
      </c>
      <c r="AN89" s="978">
        <f t="shared" si="109"/>
        <v>6300</v>
      </c>
      <c r="AO89" s="978">
        <f t="shared" si="109"/>
        <v>6300</v>
      </c>
    </row>
    <row r="90" spans="1:41" x14ac:dyDescent="0.2">
      <c r="A90" s="797" t="s">
        <v>489</v>
      </c>
      <c r="B90" s="15"/>
      <c r="C90" s="798">
        <v>0</v>
      </c>
      <c r="D90" s="798">
        <v>20000</v>
      </c>
      <c r="E90" s="798">
        <v>0</v>
      </c>
      <c r="F90" s="798">
        <v>0</v>
      </c>
      <c r="G90" s="814">
        <f>SUM(C90:F90)</f>
        <v>20000</v>
      </c>
      <c r="H90" s="798">
        <v>0</v>
      </c>
      <c r="I90" s="800">
        <f t="shared" si="108"/>
        <v>0</v>
      </c>
      <c r="J90" s="800">
        <f t="shared" si="108"/>
        <v>0</v>
      </c>
      <c r="K90" s="800">
        <f t="shared" si="108"/>
        <v>0</v>
      </c>
      <c r="L90" s="800">
        <f t="shared" si="108"/>
        <v>0</v>
      </c>
      <c r="M90" s="800">
        <f t="shared" si="108"/>
        <v>0</v>
      </c>
      <c r="N90" s="800">
        <f t="shared" si="108"/>
        <v>0</v>
      </c>
      <c r="O90" s="800">
        <f t="shared" si="108"/>
        <v>0</v>
      </c>
      <c r="P90" s="800">
        <f t="shared" si="108"/>
        <v>0</v>
      </c>
      <c r="Q90" s="800">
        <f t="shared" si="108"/>
        <v>0</v>
      </c>
      <c r="R90" s="800">
        <f t="shared" si="108"/>
        <v>0</v>
      </c>
      <c r="S90" s="800">
        <f t="shared" si="108"/>
        <v>0</v>
      </c>
      <c r="T90" s="951">
        <f t="shared" si="108"/>
        <v>0</v>
      </c>
      <c r="U90" s="800">
        <f t="shared" si="108"/>
        <v>0</v>
      </c>
      <c r="V90" s="800">
        <f t="shared" si="108"/>
        <v>0</v>
      </c>
      <c r="W90" s="800">
        <f t="shared" si="108"/>
        <v>0</v>
      </c>
      <c r="X90" s="800">
        <f t="shared" si="108"/>
        <v>0</v>
      </c>
      <c r="Y90" s="800">
        <f t="shared" si="108"/>
        <v>0</v>
      </c>
      <c r="Z90" s="800">
        <f t="shared" si="108"/>
        <v>0</v>
      </c>
      <c r="AA90" s="800">
        <f t="shared" si="108"/>
        <v>0</v>
      </c>
      <c r="AB90" s="800">
        <f t="shared" si="108"/>
        <v>0</v>
      </c>
      <c r="AC90" s="800">
        <f t="shared" si="108"/>
        <v>0</v>
      </c>
      <c r="AD90" s="800">
        <f t="shared" si="108"/>
        <v>0</v>
      </c>
      <c r="AE90" s="800">
        <f t="shared" si="108"/>
        <v>0</v>
      </c>
      <c r="AF90" s="800">
        <f t="shared" si="108"/>
        <v>0</v>
      </c>
      <c r="AG90" s="951">
        <f t="shared" si="108"/>
        <v>0</v>
      </c>
      <c r="AH90" s="935">
        <f t="shared" si="108"/>
        <v>0</v>
      </c>
      <c r="AI90" s="935">
        <f t="shared" si="108"/>
        <v>0</v>
      </c>
      <c r="AJ90" s="935">
        <f t="shared" si="108"/>
        <v>0</v>
      </c>
      <c r="AK90" s="935">
        <f t="shared" ref="AK90:AO90" si="110">AJ90</f>
        <v>0</v>
      </c>
      <c r="AL90" s="935">
        <f t="shared" si="110"/>
        <v>0</v>
      </c>
      <c r="AM90" s="935">
        <f t="shared" si="110"/>
        <v>0</v>
      </c>
      <c r="AN90" s="935">
        <f t="shared" si="110"/>
        <v>0</v>
      </c>
      <c r="AO90" s="935">
        <f t="shared" si="110"/>
        <v>0</v>
      </c>
    </row>
    <row r="91" spans="1:41" x14ac:dyDescent="0.2">
      <c r="A91" s="797" t="s">
        <v>387</v>
      </c>
      <c r="B91" s="15"/>
      <c r="C91" s="798">
        <v>0</v>
      </c>
      <c r="D91" s="798">
        <f>C91</f>
        <v>0</v>
      </c>
      <c r="E91" s="798">
        <f t="shared" ref="E91:F91" si="111">D91</f>
        <v>0</v>
      </c>
      <c r="F91" s="798">
        <f t="shared" si="111"/>
        <v>0</v>
      </c>
      <c r="G91" s="45">
        <f>C91</f>
        <v>0</v>
      </c>
      <c r="H91" s="798">
        <v>0</v>
      </c>
      <c r="I91" s="798">
        <v>0</v>
      </c>
      <c r="J91" s="798">
        <v>0</v>
      </c>
      <c r="K91" s="798">
        <v>0</v>
      </c>
      <c r="L91" s="798">
        <v>0</v>
      </c>
      <c r="M91" s="798">
        <v>0</v>
      </c>
      <c r="N91" s="798">
        <v>0</v>
      </c>
      <c r="O91" s="696">
        <f t="shared" ref="O91:AD91" si="112">N91</f>
        <v>0</v>
      </c>
      <c r="P91" s="696">
        <f t="shared" si="112"/>
        <v>0</v>
      </c>
      <c r="Q91" s="696">
        <f t="shared" si="112"/>
        <v>0</v>
      </c>
      <c r="R91" s="696">
        <f t="shared" si="112"/>
        <v>0</v>
      </c>
      <c r="S91" s="696">
        <f t="shared" si="112"/>
        <v>0</v>
      </c>
      <c r="T91" s="814">
        <f t="shared" si="112"/>
        <v>0</v>
      </c>
      <c r="U91" s="696">
        <f t="shared" si="112"/>
        <v>0</v>
      </c>
      <c r="V91" s="696">
        <f t="shared" si="112"/>
        <v>0</v>
      </c>
      <c r="W91" s="696">
        <f t="shared" si="112"/>
        <v>0</v>
      </c>
      <c r="X91" s="696">
        <f t="shared" si="112"/>
        <v>0</v>
      </c>
      <c r="Y91" s="696">
        <f t="shared" si="112"/>
        <v>0</v>
      </c>
      <c r="Z91" s="696">
        <f t="shared" si="112"/>
        <v>0</v>
      </c>
      <c r="AA91" s="696">
        <f t="shared" si="112"/>
        <v>0</v>
      </c>
      <c r="AB91" s="696">
        <f t="shared" si="112"/>
        <v>0</v>
      </c>
      <c r="AC91" s="696">
        <f t="shared" si="112"/>
        <v>0</v>
      </c>
      <c r="AD91" s="696">
        <f t="shared" si="112"/>
        <v>0</v>
      </c>
      <c r="AE91" s="696">
        <f t="shared" ref="AE91:AO92" si="113">AD91</f>
        <v>0</v>
      </c>
      <c r="AF91" s="696">
        <f t="shared" si="113"/>
        <v>0</v>
      </c>
      <c r="AG91" s="814">
        <f t="shared" si="113"/>
        <v>0</v>
      </c>
      <c r="AH91" s="814">
        <f t="shared" si="113"/>
        <v>0</v>
      </c>
      <c r="AI91" s="814">
        <f t="shared" si="113"/>
        <v>0</v>
      </c>
      <c r="AJ91" s="814">
        <f t="shared" si="113"/>
        <v>0</v>
      </c>
      <c r="AK91" s="814">
        <f t="shared" si="113"/>
        <v>0</v>
      </c>
      <c r="AL91" s="814">
        <f t="shared" si="113"/>
        <v>0</v>
      </c>
      <c r="AM91" s="814">
        <f t="shared" si="113"/>
        <v>0</v>
      </c>
      <c r="AN91" s="814">
        <f t="shared" si="113"/>
        <v>0</v>
      </c>
      <c r="AO91" s="814">
        <f t="shared" si="113"/>
        <v>0</v>
      </c>
    </row>
    <row r="92" spans="1:41" x14ac:dyDescent="0.2">
      <c r="A92" s="797" t="s">
        <v>389</v>
      </c>
      <c r="B92" s="15"/>
      <c r="C92" s="798">
        <v>0</v>
      </c>
      <c r="D92" s="798">
        <v>0</v>
      </c>
      <c r="E92" s="798">
        <v>0</v>
      </c>
      <c r="F92" s="798">
        <v>0</v>
      </c>
      <c r="G92" s="45">
        <f>SUM(C92:F92)</f>
        <v>0</v>
      </c>
      <c r="H92" s="798">
        <v>0</v>
      </c>
      <c r="I92" s="798">
        <v>0</v>
      </c>
      <c r="J92" s="798">
        <v>0</v>
      </c>
      <c r="K92" s="798">
        <v>0</v>
      </c>
      <c r="L92" s="798">
        <v>0</v>
      </c>
      <c r="M92" s="798">
        <v>0</v>
      </c>
      <c r="N92" s="798">
        <v>0</v>
      </c>
      <c r="O92" s="798">
        <v>0</v>
      </c>
      <c r="P92" s="798">
        <v>0</v>
      </c>
      <c r="Q92" s="798">
        <v>0</v>
      </c>
      <c r="R92" s="798">
        <v>0</v>
      </c>
      <c r="S92" s="798">
        <v>0</v>
      </c>
      <c r="T92" s="223">
        <f>SUM(H92:S92)</f>
        <v>0</v>
      </c>
      <c r="U92" s="798">
        <v>0</v>
      </c>
      <c r="V92" s="798">
        <v>0</v>
      </c>
      <c r="W92" s="798">
        <v>0</v>
      </c>
      <c r="X92" s="798">
        <v>0</v>
      </c>
      <c r="Y92" s="798">
        <v>0</v>
      </c>
      <c r="Z92" s="798">
        <v>0</v>
      </c>
      <c r="AA92" s="798">
        <v>2000</v>
      </c>
      <c r="AB92" s="798">
        <v>2000</v>
      </c>
      <c r="AC92" s="798">
        <v>2000</v>
      </c>
      <c r="AD92" s="798">
        <v>2000</v>
      </c>
      <c r="AE92" s="798">
        <v>2000</v>
      </c>
      <c r="AF92" s="798">
        <v>2000</v>
      </c>
      <c r="AG92" s="223">
        <f>SUM(U92:AF92)</f>
        <v>12000</v>
      </c>
      <c r="AH92" s="484">
        <f>AG92</f>
        <v>12000</v>
      </c>
      <c r="AI92" s="484">
        <f t="shared" si="113"/>
        <v>12000</v>
      </c>
      <c r="AJ92" s="484">
        <f t="shared" si="113"/>
        <v>12000</v>
      </c>
      <c r="AK92" s="484">
        <f t="shared" si="113"/>
        <v>12000</v>
      </c>
      <c r="AL92" s="484">
        <f t="shared" si="113"/>
        <v>12000</v>
      </c>
      <c r="AM92" s="484">
        <f t="shared" si="113"/>
        <v>12000</v>
      </c>
      <c r="AN92" s="484">
        <f t="shared" si="113"/>
        <v>12000</v>
      </c>
      <c r="AO92" s="484">
        <f t="shared" si="113"/>
        <v>12000</v>
      </c>
    </row>
    <row r="93" spans="1:41" x14ac:dyDescent="0.2">
      <c r="A93" s="867" t="s">
        <v>390</v>
      </c>
      <c r="B93" s="868"/>
      <c r="C93" s="803">
        <f t="shared" ref="C93" si="114">C81*C91+C92</f>
        <v>0</v>
      </c>
      <c r="D93" s="803">
        <f>(D89*D81)+D90+D92</f>
        <v>26300</v>
      </c>
      <c r="E93" s="803">
        <f>(E89*E81)+E90+E92</f>
        <v>0</v>
      </c>
      <c r="F93" s="803">
        <f t="shared" ref="F93:AJ93" si="115">(F89*F81)+F90+F92</f>
        <v>0</v>
      </c>
      <c r="G93" s="937">
        <f t="shared" si="115"/>
        <v>26300</v>
      </c>
      <c r="H93" s="803">
        <f t="shared" si="115"/>
        <v>0</v>
      </c>
      <c r="I93" s="803">
        <f t="shared" si="115"/>
        <v>0</v>
      </c>
      <c r="J93" s="803">
        <f t="shared" si="115"/>
        <v>0</v>
      </c>
      <c r="K93" s="803">
        <f t="shared" si="115"/>
        <v>0</v>
      </c>
      <c r="L93" s="803">
        <f t="shared" si="115"/>
        <v>0</v>
      </c>
      <c r="M93" s="803">
        <f t="shared" si="115"/>
        <v>0</v>
      </c>
      <c r="N93" s="803">
        <f t="shared" si="115"/>
        <v>0</v>
      </c>
      <c r="O93" s="803">
        <f t="shared" si="115"/>
        <v>0</v>
      </c>
      <c r="P93" s="803">
        <f t="shared" si="115"/>
        <v>0</v>
      </c>
      <c r="Q93" s="803">
        <f t="shared" si="115"/>
        <v>0</v>
      </c>
      <c r="R93" s="803">
        <f t="shared" si="115"/>
        <v>0</v>
      </c>
      <c r="S93" s="803">
        <f t="shared" si="115"/>
        <v>0</v>
      </c>
      <c r="T93" s="937">
        <f t="shared" si="115"/>
        <v>0</v>
      </c>
      <c r="U93" s="803">
        <f t="shared" si="115"/>
        <v>0</v>
      </c>
      <c r="V93" s="803">
        <f t="shared" si="115"/>
        <v>0</v>
      </c>
      <c r="W93" s="803">
        <f t="shared" si="115"/>
        <v>0</v>
      </c>
      <c r="X93" s="803">
        <f t="shared" si="115"/>
        <v>0</v>
      </c>
      <c r="Y93" s="803">
        <f t="shared" si="115"/>
        <v>0</v>
      </c>
      <c r="Z93" s="803">
        <f t="shared" si="115"/>
        <v>0</v>
      </c>
      <c r="AA93" s="803">
        <f t="shared" si="115"/>
        <v>2000</v>
      </c>
      <c r="AB93" s="803">
        <f t="shared" si="115"/>
        <v>2000</v>
      </c>
      <c r="AC93" s="803">
        <f t="shared" si="115"/>
        <v>2000</v>
      </c>
      <c r="AD93" s="803">
        <f t="shared" si="115"/>
        <v>2000</v>
      </c>
      <c r="AE93" s="803">
        <f t="shared" si="115"/>
        <v>2000</v>
      </c>
      <c r="AF93" s="803">
        <f t="shared" si="115"/>
        <v>2000</v>
      </c>
      <c r="AG93" s="937">
        <f t="shared" si="115"/>
        <v>12000</v>
      </c>
      <c r="AH93" s="937">
        <f t="shared" si="115"/>
        <v>12000</v>
      </c>
      <c r="AI93" s="937">
        <f t="shared" si="115"/>
        <v>12000</v>
      </c>
      <c r="AJ93" s="937">
        <f t="shared" si="115"/>
        <v>12000</v>
      </c>
      <c r="AK93" s="937">
        <f t="shared" ref="AK93:AO93" si="116">AK81*AK91+AK92</f>
        <v>12000</v>
      </c>
      <c r="AL93" s="937">
        <f t="shared" si="116"/>
        <v>12000</v>
      </c>
      <c r="AM93" s="937">
        <f t="shared" si="116"/>
        <v>12000</v>
      </c>
      <c r="AN93" s="937">
        <f t="shared" si="116"/>
        <v>12000</v>
      </c>
      <c r="AO93" s="937">
        <f t="shared" si="116"/>
        <v>12000</v>
      </c>
    </row>
    <row r="94" spans="1:41" x14ac:dyDescent="0.2">
      <c r="A94" s="779" t="s">
        <v>269</v>
      </c>
      <c r="B94" s="772"/>
      <c r="C94" s="781" t="str">
        <f>IF('P&amp;L'!C$3&gt;0,C93/'P&amp;L'!C$3,"n/m")</f>
        <v>n/m</v>
      </c>
      <c r="D94" s="781" t="str">
        <f>IF('P&amp;L'!D$3&gt;0,D93/'P&amp;L'!D$3,"n/m")</f>
        <v>n/m</v>
      </c>
      <c r="E94" s="781" t="str">
        <f>IF('P&amp;L'!E$3&gt;0,E93/'P&amp;L'!E$3,"n/m")</f>
        <v>n/m</v>
      </c>
      <c r="F94" s="781" t="str">
        <f>IF('P&amp;L'!F$3&gt;0,F93/'P&amp;L'!F$3,"n/m")</f>
        <v>n/m</v>
      </c>
      <c r="G94" s="933" t="str">
        <f>IF('P&amp;L'!G$3&gt;0,G93/'P&amp;L'!G$3,"n/m")</f>
        <v>n/m</v>
      </c>
      <c r="H94" s="781" t="str">
        <f>IF('P&amp;L'!H$3&gt;0,H93/'P&amp;L'!H$3,"n/m")</f>
        <v>n/m</v>
      </c>
      <c r="I94" s="781" t="str">
        <f>IF('P&amp;L'!I$3&gt;0,I93/'P&amp;L'!I$3,"n/m")</f>
        <v>n/m</v>
      </c>
      <c r="J94" s="781" t="str">
        <f>IF('P&amp;L'!J$3&gt;0,J93/'P&amp;L'!J$3,"n/m")</f>
        <v>n/m</v>
      </c>
      <c r="K94" s="781" t="str">
        <f>IF('P&amp;L'!K$3&gt;0,K93/'P&amp;L'!K$3,"n/m")</f>
        <v>n/m</v>
      </c>
      <c r="L94" s="781" t="str">
        <f>IF('P&amp;L'!L$3&gt;0,L93/'P&amp;L'!L$3,"n/m")</f>
        <v>n/m</v>
      </c>
      <c r="M94" s="781" t="str">
        <f>IF('P&amp;L'!M$3&gt;0,M93/'P&amp;L'!M$3,"n/m")</f>
        <v>n/m</v>
      </c>
      <c r="N94" s="781" t="str">
        <f>IF('P&amp;L'!N$3&gt;0,N93/'P&amp;L'!N$3,"n/m")</f>
        <v>n/m</v>
      </c>
      <c r="O94" s="781" t="str">
        <f>IF('P&amp;L'!O$3&gt;0,O93/'P&amp;L'!O$3,"n/m")</f>
        <v>n/m</v>
      </c>
      <c r="P94" s="781" t="str">
        <f>IF('P&amp;L'!P$3&gt;0,P93/'P&amp;L'!P$3,"n/m")</f>
        <v>n/m</v>
      </c>
      <c r="Q94" s="781" t="str">
        <f>IF('P&amp;L'!Q$3&gt;0,Q93/'P&amp;L'!Q$3,"n/m")</f>
        <v>n/m</v>
      </c>
      <c r="R94" s="781" t="str">
        <f>IF('P&amp;L'!R$3&gt;0,R93/'P&amp;L'!R$3,"n/m")</f>
        <v>n/m</v>
      </c>
      <c r="S94" s="781" t="str">
        <f>IF('P&amp;L'!S$3&gt;0,S93/'P&amp;L'!S$3,"n/m")</f>
        <v>n/m</v>
      </c>
      <c r="T94" s="933" t="str">
        <f>IF('P&amp;L'!T$3&gt;0,T93/'P&amp;L'!T$3,"n/m")</f>
        <v>n/m</v>
      </c>
      <c r="U94" s="781" t="str">
        <f>IF('P&amp;L'!U$3&gt;0,U93/'P&amp;L'!U$3,"n/m")</f>
        <v>n/m</v>
      </c>
      <c r="V94" s="781" t="str">
        <f>IF('P&amp;L'!V$3&gt;0,V93/'P&amp;L'!V$3,"n/m")</f>
        <v>n/m</v>
      </c>
      <c r="W94" s="781">
        <f>IF('P&amp;L'!W$3&gt;0,W93/'P&amp;L'!W$3,"n/m")</f>
        <v>0</v>
      </c>
      <c r="X94" s="781">
        <f>IF('P&amp;L'!X$3&gt;0,X93/'P&amp;L'!X$3,"n/m")</f>
        <v>0</v>
      </c>
      <c r="Y94" s="781">
        <f>IF('P&amp;L'!Y$3&gt;0,Y93/'P&amp;L'!Y$3,"n/m")</f>
        <v>0</v>
      </c>
      <c r="Z94" s="781">
        <f>IF('P&amp;L'!Z$3&gt;0,Z93/'P&amp;L'!Z$3,"n/m")</f>
        <v>0</v>
      </c>
      <c r="AA94" s="781">
        <f>IF('P&amp;L'!AA$3&gt;0,AA93/'P&amp;L'!AA$3,"n/m")</f>
        <v>1.9662058371735791E-3</v>
      </c>
      <c r="AB94" s="781">
        <f>IF('P&amp;L'!AB$3&gt;0,AB93/'P&amp;L'!AB$3,"n/m")</f>
        <v>1.7927170868347339E-3</v>
      </c>
      <c r="AC94" s="781">
        <f>IF('P&amp;L'!AC$3&gt;0,AC93/'P&amp;L'!AC$3,"n/m")</f>
        <v>1.6473616473616473E-3</v>
      </c>
      <c r="AD94" s="781">
        <f>IF('P&amp;L'!AD$3&gt;0,AD93/'P&amp;L'!AD$3,"n/m")</f>
        <v>1.5238095238095239E-3</v>
      </c>
      <c r="AE94" s="781">
        <f>IF('P&amp;L'!AE$3&gt;0,AE93/'P&amp;L'!AE$3,"n/m")</f>
        <v>1.4174972314507199E-3</v>
      </c>
      <c r="AF94" s="781">
        <f>IF('P&amp;L'!AF$3&gt;0,AF93/'P&amp;L'!AF$3,"n/m")</f>
        <v>1.3250517598343684E-3</v>
      </c>
      <c r="AG94" s="933">
        <f>IF('P&amp;L'!AG$3&gt;0,AG93/'P&amp;L'!AG$3,"n/m")</f>
        <v>1.1316417646538767E-3</v>
      </c>
      <c r="AH94" s="933">
        <f>IF('P&amp;L'!AH$3&gt;0,AH93/'P&amp;L'!AH$3,"n/m")</f>
        <v>3.7113347061405776E-4</v>
      </c>
      <c r="AI94" s="933">
        <f>IF('P&amp;L'!AI$3&gt;0,AI93/'P&amp;L'!AI$3,"n/m")</f>
        <v>1.943826320970688E-4</v>
      </c>
      <c r="AJ94" s="933">
        <f>IF('P&amp;L'!AJ$3&gt;0,AJ93/'P&amp;L'!AJ$3,"n/m")</f>
        <v>1.1474385789308126E-4</v>
      </c>
      <c r="AK94" s="933">
        <f>IF('P&amp;L'!AK$3&gt;0,AK93/'P&amp;L'!AK$3,"n/m")</f>
        <v>7.466149409333162E-5</v>
      </c>
      <c r="AL94" s="933">
        <f>IF('P&amp;L'!AL$3&gt;0,AL93/'P&amp;L'!AL$3,"n/m")</f>
        <v>5.6964329671401234E-5</v>
      </c>
      <c r="AM94" s="933">
        <f>IF('P&amp;L'!AM$3&gt;0,AM93/'P&amp;L'!AM$3,"n/m")</f>
        <v>4.8466918205752242E-5</v>
      </c>
      <c r="AN94" s="933">
        <f>IF('P&amp;L'!AN$3&gt;0,AN93/'P&amp;L'!AN$3,"n/m")</f>
        <v>4.2474103544745681E-5</v>
      </c>
      <c r="AO94" s="933">
        <f>IF('P&amp;L'!AO$3&gt;0,AO93/'P&amp;L'!AO$3,"n/m")</f>
        <v>3.7823006163699217E-5</v>
      </c>
    </row>
    <row r="95" spans="1:41" x14ac:dyDescent="0.2">
      <c r="A95" s="779"/>
      <c r="B95" s="772"/>
      <c r="C95" s="781"/>
      <c r="D95" s="781"/>
      <c r="E95" s="781"/>
      <c r="F95" s="781"/>
      <c r="G95" s="933"/>
      <c r="H95" s="781"/>
      <c r="I95" s="781"/>
      <c r="J95" s="781"/>
      <c r="K95" s="781"/>
      <c r="L95" s="781"/>
      <c r="M95" s="781"/>
      <c r="N95" s="781"/>
      <c r="O95" s="781"/>
      <c r="P95" s="781"/>
      <c r="Q95" s="781"/>
      <c r="R95" s="781"/>
      <c r="S95" s="781"/>
      <c r="T95" s="933"/>
      <c r="U95" s="781"/>
      <c r="V95" s="781"/>
      <c r="W95" s="781"/>
      <c r="X95" s="781"/>
      <c r="Y95" s="781"/>
      <c r="Z95" s="781"/>
      <c r="AA95" s="781"/>
      <c r="AB95" s="781"/>
      <c r="AC95" s="781"/>
      <c r="AD95" s="781"/>
      <c r="AE95" s="781"/>
      <c r="AF95" s="781"/>
      <c r="AG95" s="933"/>
      <c r="AH95" s="933"/>
      <c r="AI95" s="933"/>
      <c r="AJ95" s="933"/>
      <c r="AK95" s="933"/>
      <c r="AL95" s="933"/>
      <c r="AM95" s="933"/>
      <c r="AN95" s="933"/>
      <c r="AO95" s="933"/>
    </row>
    <row r="96" spans="1:41" x14ac:dyDescent="0.2">
      <c r="A96" s="769"/>
      <c r="B96" s="772"/>
      <c r="C96" s="772"/>
      <c r="D96" s="772"/>
      <c r="E96" s="772"/>
      <c r="F96" s="772"/>
      <c r="G96" s="960"/>
      <c r="H96" s="773"/>
      <c r="I96" s="773"/>
      <c r="J96" s="773"/>
      <c r="K96" s="773"/>
      <c r="L96" s="773"/>
      <c r="M96" s="773"/>
      <c r="N96" s="773"/>
      <c r="O96" s="773"/>
      <c r="P96" s="773"/>
      <c r="Q96" s="773"/>
      <c r="R96" s="773"/>
      <c r="S96" s="773"/>
      <c r="T96" s="928"/>
      <c r="U96" s="773"/>
      <c r="V96" s="773"/>
      <c r="W96" s="773"/>
      <c r="X96" s="773"/>
      <c r="Y96" s="773"/>
      <c r="Z96" s="773"/>
      <c r="AA96" s="773"/>
      <c r="AB96" s="773"/>
      <c r="AC96" s="773"/>
      <c r="AD96" s="773"/>
      <c r="AE96" s="773"/>
      <c r="AF96" s="773"/>
      <c r="AG96" s="928"/>
      <c r="AH96" s="928"/>
      <c r="AI96" s="928"/>
      <c r="AJ96" s="928"/>
      <c r="AK96" s="928"/>
      <c r="AL96" s="928"/>
      <c r="AM96" s="928"/>
      <c r="AN96" s="928"/>
      <c r="AO96" s="928"/>
    </row>
    <row r="97" spans="1:41" x14ac:dyDescent="0.2">
      <c r="A97" s="774" t="s">
        <v>228</v>
      </c>
      <c r="B97" s="772"/>
      <c r="C97" s="772"/>
      <c r="D97" s="772"/>
      <c r="E97" s="772"/>
      <c r="F97" s="772"/>
      <c r="G97" s="960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96"/>
      <c r="U97" s="775"/>
      <c r="V97" s="775"/>
      <c r="W97" s="775"/>
      <c r="X97" s="775"/>
      <c r="Y97" s="775"/>
      <c r="Z97" s="775"/>
      <c r="AA97" s="775"/>
      <c r="AB97" s="775"/>
      <c r="AC97" s="775"/>
      <c r="AD97" s="775"/>
      <c r="AE97" s="775"/>
      <c r="AF97" s="775"/>
      <c r="AG97" s="950"/>
      <c r="AH97" s="777"/>
      <c r="AI97" s="777"/>
      <c r="AJ97" s="777"/>
      <c r="AK97" s="777"/>
      <c r="AL97" s="777"/>
      <c r="AM97" s="777"/>
      <c r="AN97" s="777"/>
      <c r="AO97" s="777"/>
    </row>
    <row r="98" spans="1:41" x14ac:dyDescent="0.2">
      <c r="A98" s="797" t="s">
        <v>391</v>
      </c>
      <c r="B98" s="15"/>
      <c r="C98" s="800">
        <v>0</v>
      </c>
      <c r="D98" s="800">
        <v>0</v>
      </c>
      <c r="E98" s="800">
        <v>0</v>
      </c>
      <c r="F98" s="800">
        <v>0</v>
      </c>
      <c r="G98" s="951">
        <f>SUM(C98:F98)</f>
        <v>0</v>
      </c>
      <c r="H98" s="800">
        <v>2</v>
      </c>
      <c r="I98" s="800">
        <v>0</v>
      </c>
      <c r="J98" s="800">
        <v>0</v>
      </c>
      <c r="K98" s="800">
        <v>0</v>
      </c>
      <c r="L98" s="800">
        <v>0</v>
      </c>
      <c r="M98" s="800">
        <v>0</v>
      </c>
      <c r="N98" s="800">
        <v>0</v>
      </c>
      <c r="O98" s="800">
        <v>0</v>
      </c>
      <c r="P98" s="800">
        <v>0</v>
      </c>
      <c r="Q98" s="800">
        <v>0</v>
      </c>
      <c r="R98" s="800">
        <v>0</v>
      </c>
      <c r="S98" s="800">
        <v>0</v>
      </c>
      <c r="T98" s="951">
        <f>SUM(H98:S98)</f>
        <v>2</v>
      </c>
      <c r="U98" s="800">
        <v>0</v>
      </c>
      <c r="V98" s="800">
        <v>0</v>
      </c>
      <c r="W98" s="800">
        <v>0</v>
      </c>
      <c r="X98" s="800">
        <v>0</v>
      </c>
      <c r="Y98" s="800">
        <v>0</v>
      </c>
      <c r="Z98" s="800">
        <v>0</v>
      </c>
      <c r="AA98" s="800">
        <v>2</v>
      </c>
      <c r="AB98" s="800">
        <v>0</v>
      </c>
      <c r="AC98" s="800">
        <v>0</v>
      </c>
      <c r="AD98" s="800">
        <v>0</v>
      </c>
      <c r="AE98" s="800">
        <v>0</v>
      </c>
      <c r="AF98" s="800">
        <v>0</v>
      </c>
      <c r="AG98" s="951">
        <f>SUM(U98:AF98)</f>
        <v>2</v>
      </c>
      <c r="AH98" s="935">
        <v>2</v>
      </c>
      <c r="AI98" s="935">
        <v>2</v>
      </c>
      <c r="AJ98" s="935">
        <v>2</v>
      </c>
      <c r="AK98" s="935">
        <v>2</v>
      </c>
      <c r="AL98" s="935">
        <v>2</v>
      </c>
      <c r="AM98" s="935">
        <v>2</v>
      </c>
      <c r="AN98" s="935">
        <v>2</v>
      </c>
      <c r="AO98" s="935">
        <v>2</v>
      </c>
    </row>
    <row r="99" spans="1:41" x14ac:dyDescent="0.2">
      <c r="A99" s="797" t="s">
        <v>497</v>
      </c>
      <c r="B99" s="15"/>
      <c r="C99" s="798">
        <v>0</v>
      </c>
      <c r="D99" s="798">
        <f t="shared" ref="D99:D104" si="117">C99</f>
        <v>0</v>
      </c>
      <c r="E99" s="798">
        <v>0</v>
      </c>
      <c r="F99" s="798">
        <v>0</v>
      </c>
      <c r="G99" s="814">
        <f t="shared" ref="G99:G104" si="118">SUM(C99:F99)</f>
        <v>0</v>
      </c>
      <c r="H99" s="798">
        <v>8500</v>
      </c>
      <c r="I99" s="798">
        <v>0</v>
      </c>
      <c r="J99" s="798">
        <v>0</v>
      </c>
      <c r="K99" s="798">
        <v>0</v>
      </c>
      <c r="L99" s="798">
        <v>0</v>
      </c>
      <c r="M99" s="798">
        <v>0</v>
      </c>
      <c r="N99" s="798">
        <v>0</v>
      </c>
      <c r="O99" s="798">
        <v>0</v>
      </c>
      <c r="P99" s="798">
        <v>0</v>
      </c>
      <c r="Q99" s="798">
        <v>0</v>
      </c>
      <c r="R99" s="798">
        <v>0</v>
      </c>
      <c r="S99" s="798">
        <v>0</v>
      </c>
      <c r="T99" s="814">
        <f>SUM(H99:S99)</f>
        <v>8500</v>
      </c>
      <c r="U99" s="798">
        <v>8500</v>
      </c>
      <c r="V99" s="798">
        <v>0</v>
      </c>
      <c r="W99" s="798">
        <v>0</v>
      </c>
      <c r="X99" s="798">
        <v>0</v>
      </c>
      <c r="Y99" s="798">
        <v>0</v>
      </c>
      <c r="Z99" s="798">
        <v>0</v>
      </c>
      <c r="AA99" s="798">
        <v>0</v>
      </c>
      <c r="AB99" s="798">
        <v>0</v>
      </c>
      <c r="AC99" s="798">
        <v>0</v>
      </c>
      <c r="AD99" s="798">
        <v>0</v>
      </c>
      <c r="AE99" s="798">
        <v>0</v>
      </c>
      <c r="AF99" s="798">
        <v>0</v>
      </c>
      <c r="AG99" s="814">
        <f>SUM(U99:AF99)</f>
        <v>8500</v>
      </c>
      <c r="AH99" s="934">
        <f>AG99</f>
        <v>8500</v>
      </c>
      <c r="AI99" s="934">
        <f>AH99</f>
        <v>8500</v>
      </c>
      <c r="AJ99" s="934">
        <f>AI99</f>
        <v>8500</v>
      </c>
      <c r="AK99" s="814">
        <f t="shared" ref="AE99:AO100" si="119">AJ99</f>
        <v>8500</v>
      </c>
      <c r="AL99" s="814">
        <f t="shared" si="119"/>
        <v>8500</v>
      </c>
      <c r="AM99" s="814">
        <f t="shared" si="119"/>
        <v>8500</v>
      </c>
      <c r="AN99" s="814">
        <f t="shared" si="119"/>
        <v>8500</v>
      </c>
      <c r="AO99" s="814">
        <f t="shared" si="119"/>
        <v>8500</v>
      </c>
    </row>
    <row r="100" spans="1:41" x14ac:dyDescent="0.2">
      <c r="A100" s="797" t="s">
        <v>395</v>
      </c>
      <c r="B100" s="15"/>
      <c r="C100" s="798">
        <v>0</v>
      </c>
      <c r="D100" s="798">
        <f t="shared" si="117"/>
        <v>0</v>
      </c>
      <c r="E100" s="798">
        <f t="shared" ref="E100:F100" si="120">D100</f>
        <v>0</v>
      </c>
      <c r="F100" s="798">
        <f t="shared" si="120"/>
        <v>0</v>
      </c>
      <c r="G100" s="814">
        <f t="shared" si="118"/>
        <v>0</v>
      </c>
      <c r="H100" s="798">
        <v>0</v>
      </c>
      <c r="I100" s="798">
        <v>0</v>
      </c>
      <c r="J100" s="798">
        <v>0</v>
      </c>
      <c r="K100" s="798">
        <v>0</v>
      </c>
      <c r="L100" s="798">
        <v>0</v>
      </c>
      <c r="M100" s="798">
        <v>0</v>
      </c>
      <c r="N100" s="798">
        <v>0</v>
      </c>
      <c r="O100" s="798">
        <f>N100</f>
        <v>0</v>
      </c>
      <c r="P100" s="798">
        <f>O100</f>
        <v>0</v>
      </c>
      <c r="Q100" s="798">
        <f>P100</f>
        <v>0</v>
      </c>
      <c r="R100" s="798">
        <f>Q100</f>
        <v>0</v>
      </c>
      <c r="S100" s="798">
        <f>R100</f>
        <v>0</v>
      </c>
      <c r="T100" s="814">
        <f>SUM(H100:S100)</f>
        <v>0</v>
      </c>
      <c r="U100" s="798">
        <f>S100</f>
        <v>0</v>
      </c>
      <c r="V100" s="798">
        <f>U100</f>
        <v>0</v>
      </c>
      <c r="W100" s="798">
        <f t="shared" ref="W100:AD100" si="121">V100</f>
        <v>0</v>
      </c>
      <c r="X100" s="798">
        <f t="shared" si="121"/>
        <v>0</v>
      </c>
      <c r="Y100" s="798">
        <f t="shared" si="121"/>
        <v>0</v>
      </c>
      <c r="Z100" s="798">
        <f t="shared" si="121"/>
        <v>0</v>
      </c>
      <c r="AA100" s="798">
        <f t="shared" si="121"/>
        <v>0</v>
      </c>
      <c r="AB100" s="798">
        <f t="shared" si="121"/>
        <v>0</v>
      </c>
      <c r="AC100" s="798">
        <f t="shared" si="121"/>
        <v>0</v>
      </c>
      <c r="AD100" s="798">
        <f t="shared" si="121"/>
        <v>0</v>
      </c>
      <c r="AE100" s="798">
        <f t="shared" si="119"/>
        <v>0</v>
      </c>
      <c r="AF100" s="798">
        <f t="shared" si="119"/>
        <v>0</v>
      </c>
      <c r="AG100" s="814">
        <f>SUM(U100:AF100)</f>
        <v>0</v>
      </c>
      <c r="AH100" s="934">
        <v>22000</v>
      </c>
      <c r="AI100" s="934">
        <v>22000</v>
      </c>
      <c r="AJ100" s="934">
        <f t="shared" si="119"/>
        <v>22000</v>
      </c>
      <c r="AK100" s="934">
        <f t="shared" si="119"/>
        <v>22000</v>
      </c>
      <c r="AL100" s="934">
        <f t="shared" si="119"/>
        <v>22000</v>
      </c>
      <c r="AM100" s="934">
        <f t="shared" si="119"/>
        <v>22000</v>
      </c>
      <c r="AN100" s="934">
        <f t="shared" si="119"/>
        <v>22000</v>
      </c>
      <c r="AO100" s="934">
        <f t="shared" si="119"/>
        <v>22000</v>
      </c>
    </row>
    <row r="101" spans="1:41" x14ac:dyDescent="0.2">
      <c r="A101" s="797" t="s">
        <v>392</v>
      </c>
      <c r="B101" s="15"/>
      <c r="C101" s="798">
        <v>0</v>
      </c>
      <c r="D101" s="798">
        <f t="shared" si="117"/>
        <v>0</v>
      </c>
      <c r="E101" s="798">
        <f t="shared" ref="E101:F101" si="122">D101</f>
        <v>0</v>
      </c>
      <c r="F101" s="798">
        <f t="shared" si="122"/>
        <v>0</v>
      </c>
      <c r="G101" s="814">
        <f t="shared" si="118"/>
        <v>0</v>
      </c>
      <c r="H101" s="798">
        <v>5000</v>
      </c>
      <c r="I101" s="798">
        <v>0</v>
      </c>
      <c r="J101" s="798">
        <v>0</v>
      </c>
      <c r="K101" s="798">
        <v>0</v>
      </c>
      <c r="L101" s="798">
        <v>0</v>
      </c>
      <c r="M101" s="798">
        <v>0</v>
      </c>
      <c r="N101" s="798">
        <v>0</v>
      </c>
      <c r="O101" s="798">
        <v>0</v>
      </c>
      <c r="P101" s="798">
        <v>0</v>
      </c>
      <c r="Q101" s="798">
        <v>0</v>
      </c>
      <c r="R101" s="798">
        <v>0</v>
      </c>
      <c r="S101" s="798">
        <v>0</v>
      </c>
      <c r="T101" s="814">
        <f>SUM(H101:S101)</f>
        <v>5000</v>
      </c>
      <c r="U101" s="798">
        <v>0</v>
      </c>
      <c r="V101" s="798">
        <v>0</v>
      </c>
      <c r="W101" s="798">
        <v>0</v>
      </c>
      <c r="X101" s="798">
        <v>0</v>
      </c>
      <c r="Y101" s="798">
        <v>0</v>
      </c>
      <c r="Z101" s="798">
        <v>0</v>
      </c>
      <c r="AA101" s="798">
        <v>0</v>
      </c>
      <c r="AB101" s="798">
        <v>0</v>
      </c>
      <c r="AC101" s="798">
        <v>0</v>
      </c>
      <c r="AD101" s="798">
        <v>0</v>
      </c>
      <c r="AE101" s="798">
        <v>0</v>
      </c>
      <c r="AF101" s="798">
        <v>0</v>
      </c>
      <c r="AG101" s="814">
        <f>SUM(U101:AF101)</f>
        <v>0</v>
      </c>
      <c r="AH101" s="934">
        <v>0</v>
      </c>
      <c r="AI101" s="934">
        <v>0</v>
      </c>
      <c r="AJ101" s="934">
        <v>0</v>
      </c>
      <c r="AK101" s="934">
        <v>0</v>
      </c>
      <c r="AL101" s="934">
        <v>0</v>
      </c>
      <c r="AM101" s="934">
        <v>0</v>
      </c>
      <c r="AN101" s="934">
        <v>0</v>
      </c>
      <c r="AO101" s="934">
        <v>0</v>
      </c>
    </row>
    <row r="102" spans="1:41" x14ac:dyDescent="0.2">
      <c r="A102" s="797" t="s">
        <v>499</v>
      </c>
      <c r="B102" s="15"/>
      <c r="C102" s="798">
        <v>0</v>
      </c>
      <c r="D102" s="798">
        <f t="shared" si="117"/>
        <v>0</v>
      </c>
      <c r="E102" s="798">
        <f t="shared" ref="E102:F103" si="123">D102</f>
        <v>0</v>
      </c>
      <c r="F102" s="798">
        <f t="shared" si="123"/>
        <v>0</v>
      </c>
      <c r="G102" s="814">
        <f t="shared" si="118"/>
        <v>0</v>
      </c>
      <c r="H102" s="798">
        <v>4000</v>
      </c>
      <c r="I102" s="798">
        <v>0</v>
      </c>
      <c r="J102" s="798">
        <v>0</v>
      </c>
      <c r="K102" s="798">
        <v>0</v>
      </c>
      <c r="L102" s="798">
        <v>0</v>
      </c>
      <c r="M102" s="798">
        <v>0</v>
      </c>
      <c r="N102" s="798">
        <v>0</v>
      </c>
      <c r="O102" s="798">
        <v>0</v>
      </c>
      <c r="P102" s="798">
        <v>0</v>
      </c>
      <c r="Q102" s="798">
        <v>0</v>
      </c>
      <c r="R102" s="798">
        <v>0</v>
      </c>
      <c r="S102" s="798">
        <v>0</v>
      </c>
      <c r="T102" s="814">
        <f t="shared" ref="T102:T104" si="124">SUM(H102:S102)</f>
        <v>4000</v>
      </c>
      <c r="U102" s="798">
        <v>0</v>
      </c>
      <c r="V102" s="798">
        <v>0</v>
      </c>
      <c r="W102" s="798">
        <v>0</v>
      </c>
      <c r="X102" s="798">
        <v>0</v>
      </c>
      <c r="Y102" s="798">
        <v>0</v>
      </c>
      <c r="Z102" s="798">
        <v>0</v>
      </c>
      <c r="AA102" s="798">
        <v>0</v>
      </c>
      <c r="AB102" s="798">
        <v>0</v>
      </c>
      <c r="AC102" s="798">
        <v>0</v>
      </c>
      <c r="AD102" s="798">
        <v>0</v>
      </c>
      <c r="AE102" s="798">
        <v>0</v>
      </c>
      <c r="AF102" s="798">
        <v>0</v>
      </c>
      <c r="AG102" s="814">
        <f t="shared" ref="AG102:AG104" si="125">SUM(U102:AF102)</f>
        <v>0</v>
      </c>
      <c r="AH102" s="934">
        <v>0</v>
      </c>
      <c r="AI102" s="934">
        <v>0</v>
      </c>
      <c r="AJ102" s="934">
        <v>0</v>
      </c>
      <c r="AK102" s="934">
        <v>0</v>
      </c>
      <c r="AL102" s="934">
        <v>0</v>
      </c>
      <c r="AM102" s="934">
        <v>0</v>
      </c>
      <c r="AN102" s="934">
        <v>0</v>
      </c>
      <c r="AO102" s="934">
        <v>0</v>
      </c>
    </row>
    <row r="103" spans="1:41" x14ac:dyDescent="0.2">
      <c r="A103" s="797" t="s">
        <v>500</v>
      </c>
      <c r="B103" s="15"/>
      <c r="C103" s="798">
        <v>0</v>
      </c>
      <c r="D103" s="798">
        <f t="shared" si="117"/>
        <v>0</v>
      </c>
      <c r="E103" s="798">
        <f t="shared" si="123"/>
        <v>0</v>
      </c>
      <c r="F103" s="798">
        <f t="shared" si="123"/>
        <v>0</v>
      </c>
      <c r="G103" s="814">
        <f>SUM(C103:F103)</f>
        <v>0</v>
      </c>
      <c r="H103" s="798">
        <v>8500</v>
      </c>
      <c r="I103" s="798">
        <v>0</v>
      </c>
      <c r="J103" s="798">
        <v>0</v>
      </c>
      <c r="K103" s="798">
        <v>0</v>
      </c>
      <c r="L103" s="798">
        <v>0</v>
      </c>
      <c r="M103" s="798">
        <v>0</v>
      </c>
      <c r="N103" s="798">
        <v>0</v>
      </c>
      <c r="O103" s="798">
        <v>0</v>
      </c>
      <c r="P103" s="798">
        <v>0</v>
      </c>
      <c r="Q103" s="798">
        <v>0</v>
      </c>
      <c r="R103" s="798">
        <v>0</v>
      </c>
      <c r="S103" s="798">
        <v>0</v>
      </c>
      <c r="T103" s="814">
        <f t="shared" si="124"/>
        <v>8500</v>
      </c>
      <c r="U103" s="798">
        <v>0</v>
      </c>
      <c r="V103" s="798">
        <v>0</v>
      </c>
      <c r="W103" s="798">
        <v>0</v>
      </c>
      <c r="X103" s="798">
        <v>0</v>
      </c>
      <c r="Y103" s="798">
        <v>0</v>
      </c>
      <c r="Z103" s="798">
        <v>0</v>
      </c>
      <c r="AA103" s="798">
        <v>0</v>
      </c>
      <c r="AB103" s="798">
        <v>0</v>
      </c>
      <c r="AC103" s="798">
        <v>0</v>
      </c>
      <c r="AD103" s="798">
        <v>0</v>
      </c>
      <c r="AE103" s="798">
        <v>0</v>
      </c>
      <c r="AF103" s="798">
        <v>0</v>
      </c>
      <c r="AG103" s="814">
        <f t="shared" si="125"/>
        <v>0</v>
      </c>
      <c r="AH103" s="934">
        <v>0</v>
      </c>
      <c r="AI103" s="934">
        <v>0</v>
      </c>
      <c r="AJ103" s="934">
        <v>0</v>
      </c>
      <c r="AK103" s="934">
        <v>0</v>
      </c>
      <c r="AL103" s="934">
        <v>0</v>
      </c>
      <c r="AM103" s="934">
        <v>0</v>
      </c>
      <c r="AN103" s="934">
        <v>0</v>
      </c>
      <c r="AO103" s="934">
        <v>0</v>
      </c>
    </row>
    <row r="104" spans="1:41" x14ac:dyDescent="0.2">
      <c r="A104" s="797" t="s">
        <v>498</v>
      </c>
      <c r="B104" s="15"/>
      <c r="C104" s="798">
        <v>0</v>
      </c>
      <c r="D104" s="798">
        <f t="shared" si="117"/>
        <v>0</v>
      </c>
      <c r="E104" s="798">
        <f t="shared" ref="E104:F104" si="126">D104</f>
        <v>0</v>
      </c>
      <c r="F104" s="798">
        <f t="shared" si="126"/>
        <v>0</v>
      </c>
      <c r="G104" s="814">
        <f t="shared" si="118"/>
        <v>0</v>
      </c>
      <c r="H104" s="798">
        <v>13000</v>
      </c>
      <c r="I104" s="798">
        <v>0</v>
      </c>
      <c r="J104" s="798">
        <v>0</v>
      </c>
      <c r="K104" s="798">
        <v>0</v>
      </c>
      <c r="L104" s="798">
        <v>0</v>
      </c>
      <c r="M104" s="798">
        <v>0</v>
      </c>
      <c r="N104" s="798">
        <v>0</v>
      </c>
      <c r="O104" s="798">
        <v>0</v>
      </c>
      <c r="P104" s="798">
        <v>0</v>
      </c>
      <c r="Q104" s="798">
        <v>0</v>
      </c>
      <c r="R104" s="798">
        <v>0</v>
      </c>
      <c r="S104" s="798">
        <v>0</v>
      </c>
      <c r="T104" s="814">
        <f t="shared" si="124"/>
        <v>13000</v>
      </c>
      <c r="U104" s="798">
        <v>0</v>
      </c>
      <c r="V104" s="798">
        <v>0</v>
      </c>
      <c r="W104" s="798">
        <v>0</v>
      </c>
      <c r="X104" s="798">
        <v>0</v>
      </c>
      <c r="Y104" s="798">
        <v>0</v>
      </c>
      <c r="Z104" s="798">
        <v>0</v>
      </c>
      <c r="AA104" s="798">
        <v>0</v>
      </c>
      <c r="AB104" s="798">
        <v>0</v>
      </c>
      <c r="AC104" s="798">
        <v>0</v>
      </c>
      <c r="AD104" s="798">
        <v>0</v>
      </c>
      <c r="AE104" s="798">
        <v>0</v>
      </c>
      <c r="AF104" s="798">
        <v>0</v>
      </c>
      <c r="AG104" s="814">
        <f t="shared" si="125"/>
        <v>0</v>
      </c>
      <c r="AH104" s="934">
        <v>0</v>
      </c>
      <c r="AI104" s="934">
        <v>0</v>
      </c>
      <c r="AJ104" s="934">
        <v>0</v>
      </c>
      <c r="AK104" s="934">
        <v>0</v>
      </c>
      <c r="AL104" s="934">
        <v>0</v>
      </c>
      <c r="AM104" s="934">
        <v>0</v>
      </c>
      <c r="AN104" s="934">
        <v>0</v>
      </c>
      <c r="AO104" s="934">
        <v>0</v>
      </c>
    </row>
    <row r="105" spans="1:41" x14ac:dyDescent="0.2">
      <c r="A105" s="797" t="s">
        <v>496</v>
      </c>
      <c r="B105" s="15"/>
      <c r="C105" s="696">
        <f>$G105/12</f>
        <v>0</v>
      </c>
      <c r="D105" s="696">
        <f t="shared" ref="D105:F106" si="127">$G105/12</f>
        <v>0</v>
      </c>
      <c r="E105" s="696">
        <f t="shared" si="127"/>
        <v>0</v>
      </c>
      <c r="F105" s="696">
        <f t="shared" si="127"/>
        <v>0</v>
      </c>
      <c r="G105" s="934">
        <v>0</v>
      </c>
      <c r="H105" s="798">
        <f>G105</f>
        <v>0</v>
      </c>
      <c r="I105" s="798">
        <f t="shared" ref="I105:P105" si="128">H105</f>
        <v>0</v>
      </c>
      <c r="J105" s="798">
        <f t="shared" si="128"/>
        <v>0</v>
      </c>
      <c r="K105" s="798">
        <f t="shared" si="128"/>
        <v>0</v>
      </c>
      <c r="L105" s="798">
        <f t="shared" si="128"/>
        <v>0</v>
      </c>
      <c r="M105" s="798">
        <f t="shared" si="128"/>
        <v>0</v>
      </c>
      <c r="N105" s="798">
        <f t="shared" si="128"/>
        <v>0</v>
      </c>
      <c r="O105" s="798">
        <f t="shared" si="128"/>
        <v>0</v>
      </c>
      <c r="P105" s="798">
        <f t="shared" si="128"/>
        <v>0</v>
      </c>
      <c r="Q105" s="696">
        <f>$T105/3</f>
        <v>1349.3333333333333</v>
      </c>
      <c r="R105" s="696">
        <f t="shared" ref="R105:S106" si="129">$T105/3</f>
        <v>1349.3333333333333</v>
      </c>
      <c r="S105" s="696">
        <f t="shared" si="129"/>
        <v>1349.3333333333333</v>
      </c>
      <c r="T105" s="934">
        <f>2024*T98</f>
        <v>4048</v>
      </c>
      <c r="U105" s="696">
        <f>$AG105/12</f>
        <v>337.33333333333331</v>
      </c>
      <c r="V105" s="696">
        <f t="shared" ref="V105:AF106" si="130">$AG105/12</f>
        <v>337.33333333333331</v>
      </c>
      <c r="W105" s="696">
        <f t="shared" si="130"/>
        <v>337.33333333333331</v>
      </c>
      <c r="X105" s="696">
        <f t="shared" si="130"/>
        <v>337.33333333333331</v>
      </c>
      <c r="Y105" s="696">
        <f t="shared" si="130"/>
        <v>337.33333333333331</v>
      </c>
      <c r="Z105" s="696">
        <f t="shared" si="130"/>
        <v>337.33333333333331</v>
      </c>
      <c r="AA105" s="696">
        <f t="shared" si="130"/>
        <v>337.33333333333331</v>
      </c>
      <c r="AB105" s="696">
        <f t="shared" si="130"/>
        <v>337.33333333333331</v>
      </c>
      <c r="AC105" s="696">
        <f t="shared" si="130"/>
        <v>337.33333333333331</v>
      </c>
      <c r="AD105" s="696">
        <f t="shared" si="130"/>
        <v>337.33333333333331</v>
      </c>
      <c r="AE105" s="696">
        <f t="shared" si="130"/>
        <v>337.33333333333331</v>
      </c>
      <c r="AF105" s="696">
        <f t="shared" si="130"/>
        <v>337.33333333333331</v>
      </c>
      <c r="AG105" s="934">
        <f>T105</f>
        <v>4048</v>
      </c>
      <c r="AH105" s="934">
        <f>T105</f>
        <v>4048</v>
      </c>
      <c r="AI105" s="934">
        <f>T105</f>
        <v>4048</v>
      </c>
      <c r="AJ105" s="934">
        <f>T105</f>
        <v>4048</v>
      </c>
      <c r="AK105" s="934">
        <f>AJ105</f>
        <v>4048</v>
      </c>
      <c r="AL105" s="934">
        <f t="shared" ref="AL105:AM105" si="131">AK105</f>
        <v>4048</v>
      </c>
      <c r="AM105" s="934">
        <f t="shared" si="131"/>
        <v>4048</v>
      </c>
      <c r="AN105" s="934"/>
      <c r="AO105" s="934"/>
    </row>
    <row r="106" spans="1:41" x14ac:dyDescent="0.2">
      <c r="A106" s="797" t="s">
        <v>393</v>
      </c>
      <c r="B106" s="15"/>
      <c r="C106" s="696">
        <f>$G106/12</f>
        <v>0</v>
      </c>
      <c r="D106" s="696">
        <f t="shared" si="127"/>
        <v>0</v>
      </c>
      <c r="E106" s="696">
        <f t="shared" si="127"/>
        <v>0</v>
      </c>
      <c r="F106" s="696">
        <f t="shared" si="127"/>
        <v>0</v>
      </c>
      <c r="G106" s="934">
        <v>0</v>
      </c>
      <c r="H106" s="798">
        <v>0</v>
      </c>
      <c r="I106" s="798">
        <v>0</v>
      </c>
      <c r="J106" s="798">
        <v>0</v>
      </c>
      <c r="K106" s="798">
        <v>0</v>
      </c>
      <c r="L106" s="798">
        <v>0</v>
      </c>
      <c r="M106" s="798">
        <v>0</v>
      </c>
      <c r="N106" s="798">
        <v>0</v>
      </c>
      <c r="O106" s="798">
        <v>0</v>
      </c>
      <c r="P106" s="798">
        <v>0</v>
      </c>
      <c r="Q106" s="696">
        <f>$T106/3</f>
        <v>1352.6666666666667</v>
      </c>
      <c r="R106" s="696">
        <f t="shared" si="129"/>
        <v>1352.6666666666667</v>
      </c>
      <c r="S106" s="696">
        <f t="shared" si="129"/>
        <v>1352.6666666666667</v>
      </c>
      <c r="T106" s="934">
        <f>2029*T98</f>
        <v>4058</v>
      </c>
      <c r="U106" s="696">
        <f>$AG106/12</f>
        <v>338.16666666666669</v>
      </c>
      <c r="V106" s="696">
        <f t="shared" si="130"/>
        <v>338.16666666666669</v>
      </c>
      <c r="W106" s="696">
        <f t="shared" si="130"/>
        <v>338.16666666666669</v>
      </c>
      <c r="X106" s="696">
        <f t="shared" si="130"/>
        <v>338.16666666666669</v>
      </c>
      <c r="Y106" s="696">
        <f t="shared" si="130"/>
        <v>338.16666666666669</v>
      </c>
      <c r="Z106" s="696">
        <f t="shared" si="130"/>
        <v>338.16666666666669</v>
      </c>
      <c r="AA106" s="696">
        <f t="shared" si="130"/>
        <v>338.16666666666669</v>
      </c>
      <c r="AB106" s="696">
        <f t="shared" si="130"/>
        <v>338.16666666666669</v>
      </c>
      <c r="AC106" s="696">
        <f t="shared" si="130"/>
        <v>338.16666666666669</v>
      </c>
      <c r="AD106" s="696">
        <f t="shared" si="130"/>
        <v>338.16666666666669</v>
      </c>
      <c r="AE106" s="696">
        <f t="shared" si="130"/>
        <v>338.16666666666669</v>
      </c>
      <c r="AF106" s="696">
        <f t="shared" si="130"/>
        <v>338.16666666666669</v>
      </c>
      <c r="AG106" s="934">
        <f>T106</f>
        <v>4058</v>
      </c>
      <c r="AH106" s="934">
        <f t="shared" ref="AH106:AO106" si="132">AG106</f>
        <v>4058</v>
      </c>
      <c r="AI106" s="934">
        <f t="shared" si="132"/>
        <v>4058</v>
      </c>
      <c r="AJ106" s="934">
        <f t="shared" si="132"/>
        <v>4058</v>
      </c>
      <c r="AK106" s="934">
        <f t="shared" si="132"/>
        <v>4058</v>
      </c>
      <c r="AL106" s="934">
        <f t="shared" si="132"/>
        <v>4058</v>
      </c>
      <c r="AM106" s="934">
        <f t="shared" si="132"/>
        <v>4058</v>
      </c>
      <c r="AN106" s="934">
        <f t="shared" si="132"/>
        <v>4058</v>
      </c>
      <c r="AO106" s="934">
        <f t="shared" si="132"/>
        <v>4058</v>
      </c>
    </row>
    <row r="107" spans="1:41" x14ac:dyDescent="0.2">
      <c r="A107" s="867" t="s">
        <v>394</v>
      </c>
      <c r="B107" s="868"/>
      <c r="C107" s="803">
        <f>SUM(C98:C106)</f>
        <v>0</v>
      </c>
      <c r="D107" s="803">
        <f t="shared" ref="D107:AI107" si="133">SUM(D98:D106)</f>
        <v>0</v>
      </c>
      <c r="E107" s="803">
        <f t="shared" si="133"/>
        <v>0</v>
      </c>
      <c r="F107" s="803">
        <f t="shared" si="133"/>
        <v>0</v>
      </c>
      <c r="G107" s="937">
        <f t="shared" si="133"/>
        <v>0</v>
      </c>
      <c r="H107" s="803">
        <f t="shared" si="133"/>
        <v>39002</v>
      </c>
      <c r="I107" s="803">
        <f t="shared" si="133"/>
        <v>0</v>
      </c>
      <c r="J107" s="803">
        <f t="shared" si="133"/>
        <v>0</v>
      </c>
      <c r="K107" s="803">
        <f t="shared" si="133"/>
        <v>0</v>
      </c>
      <c r="L107" s="803">
        <f t="shared" si="133"/>
        <v>0</v>
      </c>
      <c r="M107" s="803">
        <f t="shared" si="133"/>
        <v>0</v>
      </c>
      <c r="N107" s="803">
        <f t="shared" si="133"/>
        <v>0</v>
      </c>
      <c r="O107" s="803">
        <f t="shared" si="133"/>
        <v>0</v>
      </c>
      <c r="P107" s="803">
        <f t="shared" si="133"/>
        <v>0</v>
      </c>
      <c r="Q107" s="803">
        <f t="shared" si="133"/>
        <v>2702</v>
      </c>
      <c r="R107" s="803">
        <f t="shared" si="133"/>
        <v>2702</v>
      </c>
      <c r="S107" s="803">
        <f t="shared" si="133"/>
        <v>2702</v>
      </c>
      <c r="T107" s="937">
        <f t="shared" si="133"/>
        <v>47108</v>
      </c>
      <c r="U107" s="803">
        <f t="shared" si="133"/>
        <v>9175.5</v>
      </c>
      <c r="V107" s="803">
        <f t="shared" si="133"/>
        <v>675.5</v>
      </c>
      <c r="W107" s="803">
        <f t="shared" si="133"/>
        <v>675.5</v>
      </c>
      <c r="X107" s="803">
        <f t="shared" si="133"/>
        <v>675.5</v>
      </c>
      <c r="Y107" s="803">
        <f t="shared" si="133"/>
        <v>675.5</v>
      </c>
      <c r="Z107" s="803">
        <f t="shared" si="133"/>
        <v>675.5</v>
      </c>
      <c r="AA107" s="803">
        <f t="shared" si="133"/>
        <v>677.5</v>
      </c>
      <c r="AB107" s="803">
        <f t="shared" si="133"/>
        <v>675.5</v>
      </c>
      <c r="AC107" s="803">
        <f t="shared" si="133"/>
        <v>675.5</v>
      </c>
      <c r="AD107" s="803">
        <f t="shared" si="133"/>
        <v>675.5</v>
      </c>
      <c r="AE107" s="803">
        <f t="shared" si="133"/>
        <v>675.5</v>
      </c>
      <c r="AF107" s="803">
        <f t="shared" si="133"/>
        <v>675.5</v>
      </c>
      <c r="AG107" s="937">
        <f t="shared" si="133"/>
        <v>16608</v>
      </c>
      <c r="AH107" s="937">
        <f t="shared" si="133"/>
        <v>38608</v>
      </c>
      <c r="AI107" s="937">
        <f t="shared" si="133"/>
        <v>38608</v>
      </c>
      <c r="AJ107" s="937">
        <f>SUM(AJ98:AJ106)</f>
        <v>38608</v>
      </c>
      <c r="AK107" s="937">
        <f t="shared" ref="AK107:AO107" si="134">SUM(AK98:AK106)</f>
        <v>38608</v>
      </c>
      <c r="AL107" s="937">
        <f t="shared" si="134"/>
        <v>38608</v>
      </c>
      <c r="AM107" s="937">
        <f t="shared" si="134"/>
        <v>38608</v>
      </c>
      <c r="AN107" s="937">
        <f t="shared" si="134"/>
        <v>34560</v>
      </c>
      <c r="AO107" s="937">
        <f t="shared" si="134"/>
        <v>34560</v>
      </c>
    </row>
    <row r="108" spans="1:41" x14ac:dyDescent="0.2">
      <c r="A108" s="779" t="s">
        <v>269</v>
      </c>
      <c r="B108" s="772"/>
      <c r="C108" s="772"/>
      <c r="D108" s="772"/>
      <c r="E108" s="772"/>
      <c r="F108" s="772"/>
      <c r="G108" s="960"/>
      <c r="H108" s="781"/>
      <c r="I108" s="781"/>
      <c r="J108" s="781"/>
      <c r="K108" s="781"/>
      <c r="L108" s="781"/>
      <c r="M108" s="781"/>
      <c r="N108" s="781" t="str">
        <f>IF('P&amp;L'!N$3&gt;0,N107/'P&amp;L'!N$3,"n/m")</f>
        <v>n/m</v>
      </c>
      <c r="O108" s="781" t="str">
        <f>IF('P&amp;L'!O$3&gt;0,O107/'P&amp;L'!O$3,"n/m")</f>
        <v>n/m</v>
      </c>
      <c r="P108" s="781" t="str">
        <f>IF('P&amp;L'!P$3&gt;0,P107/'P&amp;L'!P$3,"n/m")</f>
        <v>n/m</v>
      </c>
      <c r="Q108" s="781" t="str">
        <f>IF('P&amp;L'!Q$3&gt;0,Q107/'P&amp;L'!Q$3,"n/m")</f>
        <v>n/m</v>
      </c>
      <c r="R108" s="781" t="str">
        <f>IF('P&amp;L'!R$3&gt;0,R107/'P&amp;L'!R$3,"n/m")</f>
        <v>n/m</v>
      </c>
      <c r="S108" s="781" t="str">
        <f>IF('P&amp;L'!S$3&gt;0,S107/'P&amp;L'!S$3,"n/m")</f>
        <v>n/m</v>
      </c>
      <c r="T108" s="933" t="str">
        <f>IF('P&amp;L'!T$3&gt;0,T107/'P&amp;L'!T$3,"n/m")</f>
        <v>n/m</v>
      </c>
      <c r="U108" s="781" t="str">
        <f>IF('P&amp;L'!U$3&gt;0,U107/'P&amp;L'!U$3,"n/m")</f>
        <v>n/m</v>
      </c>
      <c r="V108" s="781" t="str">
        <f>IF('P&amp;L'!V$3&gt;0,V107/'P&amp;L'!V$3,"n/m")</f>
        <v>n/m</v>
      </c>
      <c r="W108" s="781">
        <f>IF('P&amp;L'!W$3&gt;0,W107/'P&amp;L'!W$3,"n/m")</f>
        <v>1.1678011885467312E-3</v>
      </c>
      <c r="X108" s="781">
        <f>IF('P&amp;L'!X$3&gt;0,X107/'P&amp;L'!X$3,"n/m")</f>
        <v>9.5561450044208667E-4</v>
      </c>
      <c r="Y108" s="781">
        <f>IF('P&amp;L'!Y$3&gt;0,Y107/'P&amp;L'!Y$3,"n/m")</f>
        <v>8.2346666666666666E-4</v>
      </c>
      <c r="Z108" s="781">
        <f>IF('P&amp;L'!Z$3&gt;0,Z107/'P&amp;L'!Z$3,"n/m")</f>
        <v>7.3523809523809523E-4</v>
      </c>
      <c r="AA108" s="781">
        <f>IF('P&amp;L'!AA$3&gt;0,AA107/'P&amp;L'!AA$3,"n/m")</f>
        <v>6.6605222734254994E-4</v>
      </c>
      <c r="AB108" s="781">
        <f>IF('P&amp;L'!AB$3&gt;0,AB107/'P&amp;L'!AB$3,"n/m")</f>
        <v>6.0549019607843136E-4</v>
      </c>
      <c r="AC108" s="781">
        <f>IF('P&amp;L'!AC$3&gt;0,AC107/'P&amp;L'!AC$3,"n/m")</f>
        <v>5.5639639639639641E-4</v>
      </c>
      <c r="AD108" s="781">
        <f>IF('P&amp;L'!AD$3&gt;0,AD107/'P&amp;L'!AD$3,"n/m")</f>
        <v>5.1466666666666664E-4</v>
      </c>
      <c r="AE108" s="781">
        <f>IF('P&amp;L'!AE$3&gt;0,AE107/'P&amp;L'!AE$3,"n/m")</f>
        <v>4.7875968992248062E-4</v>
      </c>
      <c r="AF108" s="781">
        <f>IF('P&amp;L'!AF$3&gt;0,AF107/'P&amp;L'!AF$3,"n/m")</f>
        <v>4.4753623188405797E-4</v>
      </c>
      <c r="AG108" s="933">
        <f>IF('P&amp;L'!AG$3&gt;0,AG107/'P&amp;L'!AG$3,"n/m")</f>
        <v>1.5661922022809655E-3</v>
      </c>
      <c r="AH108" s="933">
        <f>IF('P&amp;L'!AH$3&gt;0,AH107/'P&amp;L'!AH$3,"n/m")</f>
        <v>1.1940600861222951E-3</v>
      </c>
      <c r="AI108" s="933">
        <f>IF('P&amp;L'!AI$3&gt;0,AI107/'P&amp;L'!AI$3,"n/m")</f>
        <v>6.2539372166696937E-4</v>
      </c>
      <c r="AJ108" s="933">
        <f>IF('P&amp;L'!AJ$3&gt;0,AJ107/'P&amp;L'!AJ$3,"n/m")</f>
        <v>3.6916923879467346E-4</v>
      </c>
      <c r="AK108" s="933">
        <f>IF('P&amp;L'!AK$3&gt;0,AK107/'P&amp;L'!AK$3,"n/m")</f>
        <v>2.402109136629456E-4</v>
      </c>
      <c r="AL108" s="933">
        <f>IF('P&amp;L'!AL$3&gt;0,AL107/'P&amp;L'!AL$3,"n/m")</f>
        <v>1.8327323666278824E-4</v>
      </c>
      <c r="AM108" s="933">
        <f>IF('P&amp;L'!AM$3&gt;0,AM107/'P&amp;L'!AM$3,"n/m")</f>
        <v>1.5593423150730688E-4</v>
      </c>
      <c r="AN108" s="933">
        <f>IF('P&amp;L'!AN$3&gt;0,AN107/'P&amp;L'!AN$3,"n/m")</f>
        <v>1.2232541820886755E-4</v>
      </c>
      <c r="AO108" s="933">
        <f>IF('P&amp;L'!AO$3&gt;0,AO107/'P&amp;L'!AO$3,"n/m")</f>
        <v>1.0893025775145374E-4</v>
      </c>
    </row>
    <row r="109" spans="1:41" x14ac:dyDescent="0.2">
      <c r="A109" s="779"/>
      <c r="B109" s="772"/>
      <c r="C109" s="772"/>
      <c r="D109" s="772"/>
      <c r="E109" s="772"/>
      <c r="F109" s="772"/>
      <c r="G109" s="960"/>
      <c r="H109" s="781"/>
      <c r="I109" s="781"/>
      <c r="J109" s="781"/>
      <c r="K109" s="781"/>
      <c r="L109" s="781"/>
      <c r="M109" s="781"/>
      <c r="N109" s="781"/>
      <c r="O109" s="781"/>
      <c r="P109" s="781"/>
      <c r="Q109" s="781"/>
      <c r="R109" s="781"/>
      <c r="S109" s="781"/>
      <c r="T109" s="933"/>
      <c r="U109" s="781"/>
      <c r="V109" s="781"/>
      <c r="W109" s="781"/>
      <c r="X109" s="781"/>
      <c r="Y109" s="781"/>
      <c r="Z109" s="781"/>
      <c r="AA109" s="781"/>
      <c r="AB109" s="781"/>
      <c r="AC109" s="781"/>
      <c r="AD109" s="781"/>
      <c r="AE109" s="781"/>
      <c r="AF109" s="781"/>
      <c r="AG109" s="933"/>
      <c r="AH109" s="933"/>
      <c r="AI109" s="933"/>
      <c r="AJ109" s="933"/>
      <c r="AK109" s="933"/>
      <c r="AL109" s="933"/>
      <c r="AM109" s="933"/>
      <c r="AN109" s="933"/>
      <c r="AO109" s="933"/>
    </row>
    <row r="110" spans="1:41" x14ac:dyDescent="0.2">
      <c r="A110" s="774" t="s">
        <v>134</v>
      </c>
      <c r="B110" s="772"/>
      <c r="C110" s="798">
        <v>0</v>
      </c>
      <c r="D110" s="798">
        <v>0</v>
      </c>
      <c r="E110" s="798">
        <v>0</v>
      </c>
      <c r="F110" s="798">
        <v>0</v>
      </c>
      <c r="G110" s="814">
        <f>SUM(C110:F110)</f>
        <v>0</v>
      </c>
      <c r="H110" s="775">
        <f t="shared" ref="H110:S110" si="135">$T110/12</f>
        <v>250</v>
      </c>
      <c r="I110" s="775">
        <f t="shared" si="135"/>
        <v>250</v>
      </c>
      <c r="J110" s="775">
        <f t="shared" si="135"/>
        <v>250</v>
      </c>
      <c r="K110" s="775">
        <f t="shared" si="135"/>
        <v>250</v>
      </c>
      <c r="L110" s="775">
        <f t="shared" si="135"/>
        <v>250</v>
      </c>
      <c r="M110" s="775">
        <f t="shared" si="135"/>
        <v>250</v>
      </c>
      <c r="N110" s="775">
        <f t="shared" si="135"/>
        <v>250</v>
      </c>
      <c r="O110" s="775">
        <f t="shared" si="135"/>
        <v>250</v>
      </c>
      <c r="P110" s="775">
        <f t="shared" si="135"/>
        <v>250</v>
      </c>
      <c r="Q110" s="775">
        <f t="shared" si="135"/>
        <v>250</v>
      </c>
      <c r="R110" s="775">
        <f t="shared" si="135"/>
        <v>250</v>
      </c>
      <c r="S110" s="775">
        <f t="shared" si="135"/>
        <v>250</v>
      </c>
      <c r="T110" s="776">
        <v>3000</v>
      </c>
      <c r="U110" s="775">
        <f t="shared" ref="U110:AF110" si="136">$AG110/12</f>
        <v>312.5</v>
      </c>
      <c r="V110" s="775">
        <f t="shared" si="136"/>
        <v>312.5</v>
      </c>
      <c r="W110" s="775">
        <f t="shared" si="136"/>
        <v>312.5</v>
      </c>
      <c r="X110" s="775">
        <f t="shared" si="136"/>
        <v>312.5</v>
      </c>
      <c r="Y110" s="775">
        <f t="shared" si="136"/>
        <v>312.5</v>
      </c>
      <c r="Z110" s="775">
        <f t="shared" si="136"/>
        <v>312.5</v>
      </c>
      <c r="AA110" s="775">
        <f t="shared" si="136"/>
        <v>312.5</v>
      </c>
      <c r="AB110" s="775">
        <f t="shared" si="136"/>
        <v>312.5</v>
      </c>
      <c r="AC110" s="775">
        <f t="shared" si="136"/>
        <v>312.5</v>
      </c>
      <c r="AD110" s="775">
        <f t="shared" si="136"/>
        <v>312.5</v>
      </c>
      <c r="AE110" s="775">
        <f t="shared" si="136"/>
        <v>312.5</v>
      </c>
      <c r="AF110" s="775">
        <f t="shared" si="136"/>
        <v>312.5</v>
      </c>
      <c r="AG110" s="950">
        <f>T110*1.25</f>
        <v>3750</v>
      </c>
      <c r="AH110" s="777">
        <f t="shared" ref="AH110:AO110" si="137">AG110*1.1</f>
        <v>4125</v>
      </c>
      <c r="AI110" s="777">
        <f t="shared" si="137"/>
        <v>4537.5</v>
      </c>
      <c r="AJ110" s="777">
        <f t="shared" si="137"/>
        <v>4991.25</v>
      </c>
      <c r="AK110" s="777">
        <f t="shared" si="137"/>
        <v>5490.375</v>
      </c>
      <c r="AL110" s="777">
        <f t="shared" si="137"/>
        <v>6039.4125000000004</v>
      </c>
      <c r="AM110" s="777">
        <f t="shared" si="137"/>
        <v>6643.3537500000011</v>
      </c>
      <c r="AN110" s="777">
        <f t="shared" si="137"/>
        <v>7307.6891250000017</v>
      </c>
      <c r="AO110" s="777">
        <f t="shared" si="137"/>
        <v>8038.4580375000023</v>
      </c>
    </row>
    <row r="111" spans="1:41" x14ac:dyDescent="0.2">
      <c r="A111" s="779" t="s">
        <v>269</v>
      </c>
      <c r="B111" s="772"/>
      <c r="C111" s="781" t="str">
        <f>IF('P&amp;L'!C$3&gt;0,C110/'P&amp;L'!C$3,"n/m")</f>
        <v>n/m</v>
      </c>
      <c r="D111" s="781" t="str">
        <f>IF('P&amp;L'!D$3&gt;0,D110/'P&amp;L'!D$3,"n/m")</f>
        <v>n/m</v>
      </c>
      <c r="E111" s="781" t="str">
        <f>IF('P&amp;L'!E$3&gt;0,E110/'P&amp;L'!E$3,"n/m")</f>
        <v>n/m</v>
      </c>
      <c r="F111" s="781" t="str">
        <f>IF('P&amp;L'!F$3&gt;0,F110/'P&amp;L'!F$3,"n/m")</f>
        <v>n/m</v>
      </c>
      <c r="G111" s="933" t="str">
        <f>IF('P&amp;L'!G$3&gt;0,G110/'P&amp;L'!G$3,"n/m")</f>
        <v>n/m</v>
      </c>
      <c r="H111" s="781" t="str">
        <f>IF('P&amp;L'!H$3&gt;0,H110/'P&amp;L'!H$3,"n/m")</f>
        <v>n/m</v>
      </c>
      <c r="I111" s="781" t="str">
        <f>IF('P&amp;L'!I$3&gt;0,I110/'P&amp;L'!I$3,"n/m")</f>
        <v>n/m</v>
      </c>
      <c r="J111" s="781" t="str">
        <f>IF('P&amp;L'!J$3&gt;0,J110/'P&amp;L'!J$3,"n/m")</f>
        <v>n/m</v>
      </c>
      <c r="K111" s="781" t="str">
        <f>IF('P&amp;L'!K$3&gt;0,K110/'P&amp;L'!K$3,"n/m")</f>
        <v>n/m</v>
      </c>
      <c r="L111" s="781" t="str">
        <f>IF('P&amp;L'!L$3&gt;0,L110/'P&amp;L'!L$3,"n/m")</f>
        <v>n/m</v>
      </c>
      <c r="M111" s="781" t="str">
        <f>IF('P&amp;L'!M$3&gt;0,M110/'P&amp;L'!M$3,"n/m")</f>
        <v>n/m</v>
      </c>
      <c r="N111" s="781" t="str">
        <f>IF('P&amp;L'!N$3&gt;0,N110/'P&amp;L'!N$3,"n/m")</f>
        <v>n/m</v>
      </c>
      <c r="O111" s="781" t="str">
        <f>IF('P&amp;L'!O$3&gt;0,O110/'P&amp;L'!O$3,"n/m")</f>
        <v>n/m</v>
      </c>
      <c r="P111" s="781" t="str">
        <f>IF('P&amp;L'!P$3&gt;0,P110/'P&amp;L'!P$3,"n/m")</f>
        <v>n/m</v>
      </c>
      <c r="Q111" s="781" t="str">
        <f>IF('P&amp;L'!Q$3&gt;0,Q110/'P&amp;L'!Q$3,"n/m")</f>
        <v>n/m</v>
      </c>
      <c r="R111" s="781" t="str">
        <f>IF('P&amp;L'!R$3&gt;0,R110/'P&amp;L'!R$3,"n/m")</f>
        <v>n/m</v>
      </c>
      <c r="S111" s="781" t="str">
        <f>IF('P&amp;L'!S$3&gt;0,S110/'P&amp;L'!S$3,"n/m")</f>
        <v>n/m</v>
      </c>
      <c r="T111" s="933" t="str">
        <f>IF('P&amp;L'!T$3&gt;0,T110/'P&amp;L'!T$3,"n/m")</f>
        <v>n/m</v>
      </c>
      <c r="U111" s="781" t="str">
        <f>IF('P&amp;L'!U$3&gt;0,U110/'P&amp;L'!U$3,"n/m")</f>
        <v>n/m</v>
      </c>
      <c r="V111" s="781" t="str">
        <f>IF('P&amp;L'!V$3&gt;0,V110/'P&amp;L'!V$3,"n/m")</f>
        <v>n/m</v>
      </c>
      <c r="W111" s="781">
        <f>IF('P&amp;L'!W$3&gt;0,W110/'P&amp;L'!W$3,"n/m")</f>
        <v>5.4024851431658553E-4</v>
      </c>
      <c r="X111" s="781">
        <f>IF('P&amp;L'!X$3&gt;0,X110/'P&amp;L'!X$3,"n/m")</f>
        <v>4.4208664898320068E-4</v>
      </c>
      <c r="Y111" s="781">
        <f>IF('P&amp;L'!Y$3&gt;0,Y110/'P&amp;L'!Y$3,"n/m")</f>
        <v>3.8095238095238096E-4</v>
      </c>
      <c r="Z111" s="781">
        <f>IF('P&amp;L'!Z$3&gt;0,Z110/'P&amp;L'!Z$3,"n/m")</f>
        <v>3.4013605442176868E-4</v>
      </c>
      <c r="AA111" s="781">
        <f>IF('P&amp;L'!AA$3&gt;0,AA110/'P&amp;L'!AA$3,"n/m")</f>
        <v>3.0721966205837174E-4</v>
      </c>
      <c r="AB111" s="781">
        <f>IF('P&amp;L'!AB$3&gt;0,AB110/'P&amp;L'!AB$3,"n/m")</f>
        <v>2.8011204481792715E-4</v>
      </c>
      <c r="AC111" s="781">
        <f>IF('P&amp;L'!AC$3&gt;0,AC110/'P&amp;L'!AC$3,"n/m")</f>
        <v>2.5740025740025738E-4</v>
      </c>
      <c r="AD111" s="781">
        <f>IF('P&amp;L'!AD$3&gt;0,AD110/'P&amp;L'!AD$3,"n/m")</f>
        <v>2.380952380952381E-4</v>
      </c>
      <c r="AE111" s="781">
        <f>IF('P&amp;L'!AE$3&gt;0,AE110/'P&amp;L'!AE$3,"n/m")</f>
        <v>2.2148394241417498E-4</v>
      </c>
      <c r="AF111" s="781">
        <f>IF('P&amp;L'!AF$3&gt;0,AF110/'P&amp;L'!AF$3,"n/m")</f>
        <v>2.0703933747412008E-4</v>
      </c>
      <c r="AG111" s="933">
        <f>IF('P&amp;L'!AG$3&gt;0,AG110/'P&amp;L'!AG$3,"n/m")</f>
        <v>3.5363805145433648E-4</v>
      </c>
      <c r="AH111" s="933">
        <f>IF('P&amp;L'!AH$3&gt;0,AH110/'P&amp;L'!AH$3,"n/m")</f>
        <v>1.2757713052358237E-4</v>
      </c>
      <c r="AI111" s="933">
        <f>IF('P&amp;L'!AI$3&gt;0,AI110/'P&amp;L'!AI$3,"n/m")</f>
        <v>7.3500932761704136E-5</v>
      </c>
      <c r="AJ111" s="933">
        <f>IF('P&amp;L'!AJ$3&gt;0,AJ110/'P&amp;L'!AJ$3,"n/m")</f>
        <v>4.7726273392403493E-5</v>
      </c>
      <c r="AK111" s="933">
        <f>IF('P&amp;L'!AK$3&gt;0,AK110/'P&amp;L'!AK$3,"n/m")</f>
        <v>3.4159966719389634E-5</v>
      </c>
      <c r="AL111" s="933">
        <f>IF('P&amp;L'!AL$3&gt;0,AL110/'P&amp;L'!AL$3,"n/m")</f>
        <v>2.8669257055965126E-5</v>
      </c>
      <c r="AM111" s="933">
        <f>IF('P&amp;L'!AM$3&gt;0,AM110/'P&amp;L'!AM$3,"n/m")</f>
        <v>2.6831906901093957E-5</v>
      </c>
      <c r="AN111" s="933">
        <f>IF('P&amp;L'!AN$3&gt;0,AN110/'P&amp;L'!AN$3,"n/m")</f>
        <v>2.5865628714005171E-5</v>
      </c>
      <c r="AO111" s="933">
        <f>IF('P&amp;L'!AO$3&gt;0,AO110/'P&amp;L'!AO$3,"n/m")</f>
        <v>2.533655399158334E-5</v>
      </c>
    </row>
    <row r="112" spans="1:41" x14ac:dyDescent="0.2">
      <c r="A112" s="779"/>
      <c r="B112" s="772"/>
      <c r="C112" s="772"/>
      <c r="D112" s="772"/>
      <c r="E112" s="772"/>
      <c r="F112" s="772"/>
      <c r="G112" s="960"/>
      <c r="H112" s="781"/>
      <c r="I112" s="781"/>
      <c r="J112" s="781"/>
      <c r="K112" s="781"/>
      <c r="L112" s="781"/>
      <c r="M112" s="781"/>
      <c r="N112" s="781"/>
      <c r="O112" s="781"/>
      <c r="P112" s="781"/>
      <c r="Q112" s="781"/>
      <c r="R112" s="781"/>
      <c r="S112" s="781"/>
      <c r="T112" s="933"/>
      <c r="U112" s="781"/>
      <c r="V112" s="781"/>
      <c r="W112" s="781"/>
      <c r="X112" s="781"/>
      <c r="Y112" s="781"/>
      <c r="Z112" s="781"/>
      <c r="AA112" s="781"/>
      <c r="AB112" s="781"/>
      <c r="AC112" s="781"/>
      <c r="AD112" s="781"/>
      <c r="AE112" s="781"/>
      <c r="AF112" s="781"/>
      <c r="AG112" s="933"/>
      <c r="AH112" s="933"/>
      <c r="AI112" s="933"/>
      <c r="AJ112" s="933"/>
      <c r="AK112" s="933"/>
      <c r="AL112" s="933"/>
      <c r="AM112" s="933"/>
      <c r="AN112" s="933"/>
      <c r="AO112" s="933"/>
    </row>
    <row r="113" spans="1:41" x14ac:dyDescent="0.2">
      <c r="A113" s="774" t="s">
        <v>62</v>
      </c>
      <c r="B113" s="772"/>
      <c r="C113" s="798">
        <v>0</v>
      </c>
      <c r="D113" s="798">
        <v>0</v>
      </c>
      <c r="E113" s="798">
        <v>0</v>
      </c>
      <c r="F113" s="798">
        <v>0</v>
      </c>
      <c r="G113" s="814">
        <f>SUM(C113:F113)</f>
        <v>0</v>
      </c>
      <c r="H113" s="775">
        <f t="shared" ref="H113:S113" si="138">$T113/12</f>
        <v>791.66666666666663</v>
      </c>
      <c r="I113" s="775">
        <f t="shared" si="138"/>
        <v>791.66666666666663</v>
      </c>
      <c r="J113" s="775">
        <f t="shared" si="138"/>
        <v>791.66666666666663</v>
      </c>
      <c r="K113" s="775">
        <f t="shared" si="138"/>
        <v>791.66666666666663</v>
      </c>
      <c r="L113" s="775">
        <f t="shared" si="138"/>
        <v>791.66666666666663</v>
      </c>
      <c r="M113" s="775">
        <f t="shared" si="138"/>
        <v>791.66666666666663</v>
      </c>
      <c r="N113" s="775">
        <f t="shared" si="138"/>
        <v>791.66666666666663</v>
      </c>
      <c r="O113" s="775">
        <f t="shared" si="138"/>
        <v>791.66666666666663</v>
      </c>
      <c r="P113" s="775">
        <f t="shared" si="138"/>
        <v>791.66666666666663</v>
      </c>
      <c r="Q113" s="775">
        <f t="shared" si="138"/>
        <v>791.66666666666663</v>
      </c>
      <c r="R113" s="775">
        <f t="shared" si="138"/>
        <v>791.66666666666663</v>
      </c>
      <c r="S113" s="775">
        <f t="shared" si="138"/>
        <v>791.66666666666663</v>
      </c>
      <c r="T113" s="776">
        <v>9500</v>
      </c>
      <c r="U113" s="775">
        <f t="shared" ref="U113:AF113" si="139">$AG113/12</f>
        <v>1187.5</v>
      </c>
      <c r="V113" s="775">
        <f t="shared" si="139"/>
        <v>1187.5</v>
      </c>
      <c r="W113" s="775">
        <f t="shared" si="139"/>
        <v>1187.5</v>
      </c>
      <c r="X113" s="775">
        <f t="shared" si="139"/>
        <v>1187.5</v>
      </c>
      <c r="Y113" s="775">
        <f t="shared" si="139"/>
        <v>1187.5</v>
      </c>
      <c r="Z113" s="775">
        <f t="shared" si="139"/>
        <v>1187.5</v>
      </c>
      <c r="AA113" s="775">
        <f t="shared" si="139"/>
        <v>1187.5</v>
      </c>
      <c r="AB113" s="775">
        <f t="shared" si="139"/>
        <v>1187.5</v>
      </c>
      <c r="AC113" s="775">
        <f t="shared" si="139"/>
        <v>1187.5</v>
      </c>
      <c r="AD113" s="775">
        <f t="shared" si="139"/>
        <v>1187.5</v>
      </c>
      <c r="AE113" s="775">
        <f t="shared" si="139"/>
        <v>1187.5</v>
      </c>
      <c r="AF113" s="775">
        <f t="shared" si="139"/>
        <v>1187.5</v>
      </c>
      <c r="AG113" s="950">
        <f>T113*1.5</f>
        <v>14250</v>
      </c>
      <c r="AH113" s="777">
        <f>AG113*1.25</f>
        <v>17812.5</v>
      </c>
      <c r="AI113" s="777">
        <f>AH113*1.1</f>
        <v>19593.75</v>
      </c>
      <c r="AJ113" s="777">
        <f t="shared" ref="AJ113:AO113" si="140">AI113*1.1</f>
        <v>21553.125</v>
      </c>
      <c r="AK113" s="777">
        <f t="shared" si="140"/>
        <v>23708.437500000004</v>
      </c>
      <c r="AL113" s="777">
        <f t="shared" si="140"/>
        <v>26079.281250000007</v>
      </c>
      <c r="AM113" s="777">
        <f t="shared" si="140"/>
        <v>28687.209375000009</v>
      </c>
      <c r="AN113" s="777">
        <f t="shared" si="140"/>
        <v>31555.930312500011</v>
      </c>
      <c r="AO113" s="777">
        <f t="shared" si="140"/>
        <v>34711.523343750014</v>
      </c>
    </row>
    <row r="114" spans="1:41" x14ac:dyDescent="0.2">
      <c r="A114" s="779" t="s">
        <v>269</v>
      </c>
      <c r="B114" s="772"/>
      <c r="C114" s="781" t="str">
        <f>IF('P&amp;L'!C$3&gt;0,C113/'P&amp;L'!C$3,"n/m")</f>
        <v>n/m</v>
      </c>
      <c r="D114" s="781" t="str">
        <f>IF('P&amp;L'!D$3&gt;0,D113/'P&amp;L'!D$3,"n/m")</f>
        <v>n/m</v>
      </c>
      <c r="E114" s="781" t="str">
        <f>IF('P&amp;L'!E$3&gt;0,E113/'P&amp;L'!E$3,"n/m")</f>
        <v>n/m</v>
      </c>
      <c r="F114" s="781" t="str">
        <f>IF('P&amp;L'!F$3&gt;0,F113/'P&amp;L'!F$3,"n/m")</f>
        <v>n/m</v>
      </c>
      <c r="G114" s="933" t="str">
        <f>IF('P&amp;L'!G$3&gt;0,G113/'P&amp;L'!G$3,"n/m")</f>
        <v>n/m</v>
      </c>
      <c r="H114" s="781" t="str">
        <f>IF('P&amp;L'!H$3&gt;0,H113/'P&amp;L'!H$3,"n/m")</f>
        <v>n/m</v>
      </c>
      <c r="I114" s="781" t="str">
        <f>IF('P&amp;L'!I$3&gt;0,I113/'P&amp;L'!I$3,"n/m")</f>
        <v>n/m</v>
      </c>
      <c r="J114" s="781" t="str">
        <f>IF('P&amp;L'!J$3&gt;0,J113/'P&amp;L'!J$3,"n/m")</f>
        <v>n/m</v>
      </c>
      <c r="K114" s="781" t="str">
        <f>IF('P&amp;L'!K$3&gt;0,K113/'P&amp;L'!K$3,"n/m")</f>
        <v>n/m</v>
      </c>
      <c r="L114" s="781" t="str">
        <f>IF('P&amp;L'!L$3&gt;0,L113/'P&amp;L'!L$3,"n/m")</f>
        <v>n/m</v>
      </c>
      <c r="M114" s="781" t="str">
        <f>IF('P&amp;L'!M$3&gt;0,M113/'P&amp;L'!M$3,"n/m")</f>
        <v>n/m</v>
      </c>
      <c r="N114" s="781" t="str">
        <f>IF('P&amp;L'!N$3&gt;0,N113/'P&amp;L'!N$3,"n/m")</f>
        <v>n/m</v>
      </c>
      <c r="O114" s="781" t="str">
        <f>IF('P&amp;L'!O$3&gt;0,O113/'P&amp;L'!O$3,"n/m")</f>
        <v>n/m</v>
      </c>
      <c r="P114" s="781" t="str">
        <f>IF('P&amp;L'!P$3&gt;0,P113/'P&amp;L'!P$3,"n/m")</f>
        <v>n/m</v>
      </c>
      <c r="Q114" s="781" t="str">
        <f>IF('P&amp;L'!Q$3&gt;0,Q113/'P&amp;L'!Q$3,"n/m")</f>
        <v>n/m</v>
      </c>
      <c r="R114" s="781" t="str">
        <f>IF('P&amp;L'!R$3&gt;0,R113/'P&amp;L'!R$3,"n/m")</f>
        <v>n/m</v>
      </c>
      <c r="S114" s="781" t="str">
        <f>IF('P&amp;L'!S$3&gt;0,S113/'P&amp;L'!S$3,"n/m")</f>
        <v>n/m</v>
      </c>
      <c r="T114" s="933" t="str">
        <f>IF('P&amp;L'!T$3&gt;0,T113/'P&amp;L'!T$3,"n/m")</f>
        <v>n/m</v>
      </c>
      <c r="U114" s="781" t="str">
        <f>IF('P&amp;L'!U$3&gt;0,U113/'P&amp;L'!U$3,"n/m")</f>
        <v>n/m</v>
      </c>
      <c r="V114" s="781" t="str">
        <f>IF('P&amp;L'!V$3&gt;0,V113/'P&amp;L'!V$3,"n/m")</f>
        <v>n/m</v>
      </c>
      <c r="W114" s="781">
        <f>IF('P&amp;L'!W$3&gt;0,W113/'P&amp;L'!W$3,"n/m")</f>
        <v>2.0529443544030248E-3</v>
      </c>
      <c r="X114" s="781">
        <f>IF('P&amp;L'!X$3&gt;0,X113/'P&amp;L'!X$3,"n/m")</f>
        <v>1.6799292661361627E-3</v>
      </c>
      <c r="Y114" s="781">
        <f>IF('P&amp;L'!Y$3&gt;0,Y113/'P&amp;L'!Y$3,"n/m")</f>
        <v>1.4476190476190476E-3</v>
      </c>
      <c r="Z114" s="781">
        <f>IF('P&amp;L'!Z$3&gt;0,Z113/'P&amp;L'!Z$3,"n/m")</f>
        <v>1.2925170068027211E-3</v>
      </c>
      <c r="AA114" s="781">
        <f>IF('P&amp;L'!AA$3&gt;0,AA113/'P&amp;L'!AA$3,"n/m")</f>
        <v>1.1674347158218126E-3</v>
      </c>
      <c r="AB114" s="781">
        <f>IF('P&amp;L'!AB$3&gt;0,AB113/'P&amp;L'!AB$3,"n/m")</f>
        <v>1.0644257703081232E-3</v>
      </c>
      <c r="AC114" s="781">
        <f>IF('P&amp;L'!AC$3&gt;0,AC113/'P&amp;L'!AC$3,"n/m")</f>
        <v>9.7812097812097817E-4</v>
      </c>
      <c r="AD114" s="781">
        <f>IF('P&amp;L'!AD$3&gt;0,AD113/'P&amp;L'!AD$3,"n/m")</f>
        <v>9.0476190476190474E-4</v>
      </c>
      <c r="AE114" s="781">
        <f>IF('P&amp;L'!AE$3&gt;0,AE113/'P&amp;L'!AE$3,"n/m")</f>
        <v>8.4163898117386494E-4</v>
      </c>
      <c r="AF114" s="781">
        <f>IF('P&amp;L'!AF$3&gt;0,AF113/'P&amp;L'!AF$3,"n/m")</f>
        <v>7.8674948240165627E-4</v>
      </c>
      <c r="AG114" s="933">
        <f>IF('P&amp;L'!AG$3&gt;0,AG113/'P&amp;L'!AG$3,"n/m")</f>
        <v>1.3438245955264786E-3</v>
      </c>
      <c r="AH114" s="933">
        <f>IF('P&amp;L'!AH$3&gt;0,AH113/'P&amp;L'!AH$3,"n/m")</f>
        <v>5.5090124544274199E-4</v>
      </c>
      <c r="AI114" s="933">
        <f>IF('P&amp;L'!AI$3&gt;0,AI113/'P&amp;L'!AI$3,"n/m")</f>
        <v>3.1739039147099513E-4</v>
      </c>
      <c r="AJ114" s="933">
        <f>IF('P&amp;L'!AJ$3&gt;0,AJ113/'P&amp;L'!AJ$3,"n/m")</f>
        <v>2.0609072601265145E-4</v>
      </c>
      <c r="AK114" s="933">
        <f>IF('P&amp;L'!AK$3&gt;0,AK113/'P&amp;L'!AK$3,"n/m")</f>
        <v>1.4750894719736435E-4</v>
      </c>
      <c r="AL114" s="933">
        <f>IF('P&amp;L'!AL$3&gt;0,AL113/'P&amp;L'!AL$3,"n/m")</f>
        <v>1.2379906455984945E-4</v>
      </c>
      <c r="AM114" s="933">
        <f>IF('P&amp;L'!AM$3&gt;0,AM113/'P&amp;L'!AM$3,"n/m")</f>
        <v>1.158650525274512E-4</v>
      </c>
      <c r="AN114" s="933">
        <f>IF('P&amp;L'!AN$3&gt;0,AN113/'P&amp;L'!AN$3,"n/m")</f>
        <v>1.1169248762865871E-4</v>
      </c>
      <c r="AO114" s="933">
        <f>IF('P&amp;L'!AO$3&gt;0,AO113/'P&amp;L'!AO$3,"n/m")</f>
        <v>1.0940784678183717E-4</v>
      </c>
    </row>
    <row r="115" spans="1:41" x14ac:dyDescent="0.2">
      <c r="A115" s="779"/>
      <c r="B115" s="772"/>
      <c r="C115" s="772"/>
      <c r="D115" s="772"/>
      <c r="E115" s="772"/>
      <c r="F115" s="772"/>
      <c r="G115" s="960"/>
      <c r="H115" s="781"/>
      <c r="I115" s="781"/>
      <c r="J115" s="781"/>
      <c r="K115" s="781"/>
      <c r="L115" s="781"/>
      <c r="M115" s="781"/>
      <c r="N115" s="781"/>
      <c r="O115" s="781"/>
      <c r="P115" s="781"/>
      <c r="Q115" s="781"/>
      <c r="R115" s="781"/>
      <c r="S115" s="781"/>
      <c r="T115" s="933"/>
      <c r="U115" s="781"/>
      <c r="V115" s="781"/>
      <c r="W115" s="781"/>
      <c r="X115" s="781"/>
      <c r="Y115" s="781"/>
      <c r="Z115" s="781"/>
      <c r="AA115" s="781"/>
      <c r="AB115" s="781"/>
      <c r="AC115" s="781"/>
      <c r="AD115" s="781"/>
      <c r="AE115" s="781"/>
      <c r="AF115" s="781"/>
      <c r="AG115" s="933"/>
      <c r="AH115" s="933"/>
      <c r="AI115" s="933"/>
      <c r="AJ115" s="933"/>
      <c r="AK115" s="933"/>
      <c r="AL115" s="933"/>
      <c r="AM115" s="933"/>
      <c r="AN115" s="933"/>
      <c r="AO115" s="933"/>
    </row>
    <row r="116" spans="1:41" x14ac:dyDescent="0.2">
      <c r="A116" s="774" t="s">
        <v>373</v>
      </c>
      <c r="B116" s="15"/>
      <c r="C116" s="15"/>
      <c r="D116" s="15"/>
      <c r="E116" s="15"/>
      <c r="F116" s="15"/>
      <c r="G116" s="87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41" x14ac:dyDescent="0.2">
      <c r="A117" s="36" t="s">
        <v>330</v>
      </c>
      <c r="B117" s="15"/>
      <c r="C117" s="291">
        <f>'Sales and COGS Forecasts'!C11+'Sales and COGS Forecasts'!C17+'Sales and COGS Forecasts'!C65+'Sales and COGS Forecasts'!C71</f>
        <v>0</v>
      </c>
      <c r="D117" s="291">
        <f>'Sales and COGS Forecasts'!D11+'Sales and COGS Forecasts'!D17+'Sales and COGS Forecasts'!D65+'Sales and COGS Forecasts'!D71</f>
        <v>0</v>
      </c>
      <c r="E117" s="291">
        <f>'Sales and COGS Forecasts'!E11+'Sales and COGS Forecasts'!E17+'Sales and COGS Forecasts'!E65+'Sales and COGS Forecasts'!E71</f>
        <v>0</v>
      </c>
      <c r="F117" s="291">
        <f>'Sales and COGS Forecasts'!F11+'Sales and COGS Forecasts'!F17+'Sales and COGS Forecasts'!F65+'Sales and COGS Forecasts'!F71</f>
        <v>0</v>
      </c>
      <c r="G117" s="875">
        <f>SUM(C117:F117)</f>
        <v>0</v>
      </c>
      <c r="H117" s="291">
        <f>'Sales and COGS Forecasts'!H11+'Sales and COGS Forecasts'!H17+'Sales and COGS Forecasts'!H65+'Sales and COGS Forecasts'!H71</f>
        <v>2</v>
      </c>
      <c r="I117" s="291">
        <f>'Sales and COGS Forecasts'!I11+'Sales and COGS Forecasts'!I17+'Sales and COGS Forecasts'!I65+'Sales and COGS Forecasts'!I71</f>
        <v>2</v>
      </c>
      <c r="J117" s="291">
        <f>'Sales and COGS Forecasts'!J11+'Sales and COGS Forecasts'!J17+'Sales and COGS Forecasts'!J65+'Sales and COGS Forecasts'!J71</f>
        <v>2</v>
      </c>
      <c r="K117" s="291">
        <f>'Sales and COGS Forecasts'!K11+'Sales and COGS Forecasts'!K17+'Sales and COGS Forecasts'!K65+'Sales and COGS Forecasts'!K71</f>
        <v>2</v>
      </c>
      <c r="L117" s="291">
        <f>'Sales and COGS Forecasts'!L11+'Sales and COGS Forecasts'!L17+'Sales and COGS Forecasts'!L65+'Sales and COGS Forecasts'!L71</f>
        <v>2</v>
      </c>
      <c r="M117" s="291">
        <f>'Sales and COGS Forecasts'!M11+'Sales and COGS Forecasts'!M17+'Sales and COGS Forecasts'!M65+'Sales and COGS Forecasts'!M71</f>
        <v>2</v>
      </c>
      <c r="N117" s="291">
        <f>'Sales and COGS Forecasts'!N11+'Sales and COGS Forecasts'!N17+'Sales and COGS Forecasts'!N65+'Sales and COGS Forecasts'!N71</f>
        <v>6</v>
      </c>
      <c r="O117" s="291">
        <f>'Sales and COGS Forecasts'!O11+'Sales and COGS Forecasts'!O17+'Sales and COGS Forecasts'!O65+'Sales and COGS Forecasts'!O71</f>
        <v>8</v>
      </c>
      <c r="P117" s="291">
        <f>'Sales and COGS Forecasts'!P11+'Sales and COGS Forecasts'!P17+'Sales and COGS Forecasts'!P65+'Sales and COGS Forecasts'!P71</f>
        <v>11</v>
      </c>
      <c r="Q117" s="291">
        <f>'Sales and COGS Forecasts'!Q11+'Sales and COGS Forecasts'!Q17+'Sales and COGS Forecasts'!Q65+'Sales and COGS Forecasts'!Q71</f>
        <v>14</v>
      </c>
      <c r="R117" s="291">
        <f>'Sales and COGS Forecasts'!R11+'Sales and COGS Forecasts'!R17+'Sales and COGS Forecasts'!R65+'Sales and COGS Forecasts'!R71</f>
        <v>16</v>
      </c>
      <c r="S117" s="291">
        <f>'Sales and COGS Forecasts'!S11+'Sales and COGS Forecasts'!S17+'Sales and COGS Forecasts'!S65+'Sales and COGS Forecasts'!S71</f>
        <v>18</v>
      </c>
      <c r="T117" s="938">
        <f>'Sales and COGS Forecasts'!T11+'Sales and COGS Forecasts'!T17+'Sales and COGS Forecasts'!T65+'Sales and COGS Forecasts'!T71</f>
        <v>18</v>
      </c>
      <c r="U117" s="291">
        <f>'Sales and COGS Forecasts'!U11+'Sales and COGS Forecasts'!U17+'Sales and COGS Forecasts'!U65+'Sales and COGS Forecasts'!U71</f>
        <v>24</v>
      </c>
      <c r="V117" s="291">
        <f>'Sales and COGS Forecasts'!V11+'Sales and COGS Forecasts'!V17+'Sales and COGS Forecasts'!V65+'Sales and COGS Forecasts'!V71</f>
        <v>30</v>
      </c>
      <c r="W117" s="291">
        <f>'Sales and COGS Forecasts'!W11+'Sales and COGS Forecasts'!W17+'Sales and COGS Forecasts'!W65+'Sales and COGS Forecasts'!W71</f>
        <v>36</v>
      </c>
      <c r="X117" s="291">
        <f>'Sales and COGS Forecasts'!X11+'Sales and COGS Forecasts'!X17+'Sales and COGS Forecasts'!X65+'Sales and COGS Forecasts'!X71</f>
        <v>42</v>
      </c>
      <c r="Y117" s="291">
        <f>'Sales and COGS Forecasts'!Y11+'Sales and COGS Forecasts'!Y17+'Sales and COGS Forecasts'!Y65+'Sales and COGS Forecasts'!Y71</f>
        <v>47</v>
      </c>
      <c r="Z117" s="291">
        <f>'Sales and COGS Forecasts'!Z11+'Sales and COGS Forecasts'!Z17+'Sales and COGS Forecasts'!Z65+'Sales and COGS Forecasts'!Z71</f>
        <v>47</v>
      </c>
      <c r="AA117" s="291">
        <f>'Sales and COGS Forecasts'!AA11+'Sales and COGS Forecasts'!AA17+'Sales and COGS Forecasts'!AA65+'Sales and COGS Forecasts'!AA71</f>
        <v>47</v>
      </c>
      <c r="AB117" s="291">
        <f>'Sales and COGS Forecasts'!AB11+'Sales and COGS Forecasts'!AB17+'Sales and COGS Forecasts'!AB65+'Sales and COGS Forecasts'!AB71</f>
        <v>47</v>
      </c>
      <c r="AC117" s="291">
        <f>'Sales and COGS Forecasts'!AC11+'Sales and COGS Forecasts'!AC17+'Sales and COGS Forecasts'!AC65+'Sales and COGS Forecasts'!AC71</f>
        <v>47</v>
      </c>
      <c r="AD117" s="291">
        <f>'Sales and COGS Forecasts'!AD11+'Sales and COGS Forecasts'!AD17+'Sales and COGS Forecasts'!AD65+'Sales and COGS Forecasts'!AD71</f>
        <v>47</v>
      </c>
      <c r="AE117" s="291">
        <f>'Sales and COGS Forecasts'!AE11+'Sales and COGS Forecasts'!AE17+'Sales and COGS Forecasts'!AE65+'Sales and COGS Forecasts'!AE71</f>
        <v>47</v>
      </c>
      <c r="AF117" s="291">
        <f>'Sales and COGS Forecasts'!AF11+'Sales and COGS Forecasts'!AF17+'Sales and COGS Forecasts'!AF65+'Sales and COGS Forecasts'!AF71</f>
        <v>47</v>
      </c>
      <c r="AG117" s="938">
        <f>'Sales and COGS Forecasts'!AG11+'Sales and COGS Forecasts'!AG17+'Sales and COGS Forecasts'!AG65+'Sales and COGS Forecasts'!AG71</f>
        <v>47</v>
      </c>
      <c r="AH117" s="938">
        <f>'Sales and COGS Forecasts'!AH11+'Sales and COGS Forecasts'!AH17+'Sales and COGS Forecasts'!AH65+'Sales and COGS Forecasts'!AH71</f>
        <v>47</v>
      </c>
      <c r="AI117" s="938">
        <f>'Sales and COGS Forecasts'!AI11+'Sales and COGS Forecasts'!AI17+'Sales and COGS Forecasts'!AI65+'Sales and COGS Forecasts'!AI71</f>
        <v>47</v>
      </c>
      <c r="AJ117" s="938">
        <f>'Sales and COGS Forecasts'!AJ11+'Sales and COGS Forecasts'!AJ17+'Sales and COGS Forecasts'!AJ65+'Sales and COGS Forecasts'!AJ71</f>
        <v>47</v>
      </c>
      <c r="AK117" s="938">
        <f>'Sales and COGS Forecasts'!AK11+'Sales and COGS Forecasts'!AK17+'Sales and COGS Forecasts'!AK65+'Sales and COGS Forecasts'!AK71</f>
        <v>47</v>
      </c>
      <c r="AL117" s="938">
        <f>'Sales and COGS Forecasts'!AL11+'Sales and COGS Forecasts'!AL17+'Sales and COGS Forecasts'!AL65+'Sales and COGS Forecasts'!AL71</f>
        <v>47</v>
      </c>
      <c r="AM117" s="938">
        <f>'Sales and COGS Forecasts'!AM11+'Sales and COGS Forecasts'!AM17+'Sales and COGS Forecasts'!AM65+'Sales and COGS Forecasts'!AM71</f>
        <v>47</v>
      </c>
      <c r="AN117" s="938">
        <f>'Sales and COGS Forecasts'!AN11+'Sales and COGS Forecasts'!AN17+'Sales and COGS Forecasts'!AN65+'Sales and COGS Forecasts'!AN71</f>
        <v>47</v>
      </c>
      <c r="AO117" s="938">
        <f>'Sales and COGS Forecasts'!AO11+'Sales and COGS Forecasts'!AO17+'Sales and COGS Forecasts'!AO65+'Sales and COGS Forecasts'!AO71</f>
        <v>47</v>
      </c>
    </row>
    <row r="118" spans="1:41" x14ac:dyDescent="0.2">
      <c r="A118" s="36" t="s">
        <v>372</v>
      </c>
      <c r="B118" s="15"/>
      <c r="C118" s="798">
        <v>0</v>
      </c>
      <c r="D118" s="798">
        <v>0</v>
      </c>
      <c r="E118" s="798">
        <v>0</v>
      </c>
      <c r="F118" s="798">
        <v>0</v>
      </c>
      <c r="G118" s="875">
        <f>SUM(C118:F118)</f>
        <v>0</v>
      </c>
      <c r="H118" s="44">
        <f t="shared" ref="H118:S118" si="141">$T118/12</f>
        <v>0</v>
      </c>
      <c r="I118" s="44">
        <f t="shared" si="141"/>
        <v>0</v>
      </c>
      <c r="J118" s="44">
        <f t="shared" si="141"/>
        <v>0</v>
      </c>
      <c r="K118" s="44">
        <f t="shared" si="141"/>
        <v>0</v>
      </c>
      <c r="L118" s="44">
        <f t="shared" si="141"/>
        <v>0</v>
      </c>
      <c r="M118" s="44">
        <f t="shared" si="141"/>
        <v>0</v>
      </c>
      <c r="N118" s="44">
        <f t="shared" si="141"/>
        <v>0</v>
      </c>
      <c r="O118" s="44">
        <f t="shared" si="141"/>
        <v>0</v>
      </c>
      <c r="P118" s="44">
        <f t="shared" si="141"/>
        <v>0</v>
      </c>
      <c r="Q118" s="44">
        <f t="shared" si="141"/>
        <v>0</v>
      </c>
      <c r="R118" s="44">
        <f t="shared" si="141"/>
        <v>0</v>
      </c>
      <c r="S118" s="44">
        <f t="shared" si="141"/>
        <v>0</v>
      </c>
      <c r="T118" s="958">
        <v>0</v>
      </c>
      <c r="U118" s="44">
        <f t="shared" ref="U118:AF118" si="142">$AG118/12</f>
        <v>4166.666666666667</v>
      </c>
      <c r="V118" s="44">
        <f t="shared" si="142"/>
        <v>4166.666666666667</v>
      </c>
      <c r="W118" s="44">
        <f t="shared" si="142"/>
        <v>4166.666666666667</v>
      </c>
      <c r="X118" s="44">
        <f t="shared" si="142"/>
        <v>4166.666666666667</v>
      </c>
      <c r="Y118" s="44">
        <f t="shared" si="142"/>
        <v>4166.666666666667</v>
      </c>
      <c r="Z118" s="44">
        <f t="shared" si="142"/>
        <v>4166.666666666667</v>
      </c>
      <c r="AA118" s="44">
        <f t="shared" si="142"/>
        <v>4166.666666666667</v>
      </c>
      <c r="AB118" s="44">
        <f t="shared" si="142"/>
        <v>4166.666666666667</v>
      </c>
      <c r="AC118" s="44">
        <f t="shared" si="142"/>
        <v>4166.666666666667</v>
      </c>
      <c r="AD118" s="44">
        <f t="shared" si="142"/>
        <v>4166.666666666667</v>
      </c>
      <c r="AE118" s="44">
        <f t="shared" si="142"/>
        <v>4166.666666666667</v>
      </c>
      <c r="AF118" s="44">
        <f t="shared" si="142"/>
        <v>4166.666666666667</v>
      </c>
      <c r="AG118" s="927">
        <v>50000</v>
      </c>
      <c r="AH118" s="927">
        <f t="shared" ref="AH118:AO118" si="143">AG118</f>
        <v>50000</v>
      </c>
      <c r="AI118" s="927">
        <f t="shared" si="143"/>
        <v>50000</v>
      </c>
      <c r="AJ118" s="927">
        <f t="shared" si="143"/>
        <v>50000</v>
      </c>
      <c r="AK118" s="927">
        <f t="shared" si="143"/>
        <v>50000</v>
      </c>
      <c r="AL118" s="927">
        <f t="shared" si="143"/>
        <v>50000</v>
      </c>
      <c r="AM118" s="927">
        <f t="shared" si="143"/>
        <v>50000</v>
      </c>
      <c r="AN118" s="927">
        <f t="shared" si="143"/>
        <v>50000</v>
      </c>
      <c r="AO118" s="927">
        <f t="shared" si="143"/>
        <v>50000</v>
      </c>
    </row>
    <row r="119" spans="1:41" x14ac:dyDescent="0.2">
      <c r="A119" s="769" t="s">
        <v>374</v>
      </c>
      <c r="B119" s="772"/>
      <c r="C119" s="772">
        <f>C118*C117</f>
        <v>0</v>
      </c>
      <c r="D119" s="772">
        <f t="shared" ref="D119:F119" si="144">D118*D117</f>
        <v>0</v>
      </c>
      <c r="E119" s="772">
        <f t="shared" si="144"/>
        <v>0</v>
      </c>
      <c r="F119" s="772">
        <f t="shared" si="144"/>
        <v>0</v>
      </c>
      <c r="G119" s="960">
        <f>SUM(C119:F119)</f>
        <v>0</v>
      </c>
      <c r="H119" s="773">
        <f t="shared" ref="H119:S119" si="145">H117*H118</f>
        <v>0</v>
      </c>
      <c r="I119" s="773">
        <f t="shared" si="145"/>
        <v>0</v>
      </c>
      <c r="J119" s="773">
        <f t="shared" si="145"/>
        <v>0</v>
      </c>
      <c r="K119" s="773">
        <f t="shared" si="145"/>
        <v>0</v>
      </c>
      <c r="L119" s="773">
        <f t="shared" si="145"/>
        <v>0</v>
      </c>
      <c r="M119" s="773">
        <f t="shared" si="145"/>
        <v>0</v>
      </c>
      <c r="N119" s="773">
        <f t="shared" si="145"/>
        <v>0</v>
      </c>
      <c r="O119" s="773">
        <f t="shared" si="145"/>
        <v>0</v>
      </c>
      <c r="P119" s="773">
        <f t="shared" si="145"/>
        <v>0</v>
      </c>
      <c r="Q119" s="773">
        <f t="shared" si="145"/>
        <v>0</v>
      </c>
      <c r="R119" s="773">
        <f t="shared" si="145"/>
        <v>0</v>
      </c>
      <c r="S119" s="773">
        <f t="shared" si="145"/>
        <v>0</v>
      </c>
      <c r="T119" s="952">
        <f>SUM(H119:S119)</f>
        <v>0</v>
      </c>
      <c r="U119" s="773">
        <f t="shared" ref="U119:AF119" si="146">U117*U118</f>
        <v>100000</v>
      </c>
      <c r="V119" s="773">
        <f t="shared" si="146"/>
        <v>125000.00000000001</v>
      </c>
      <c r="W119" s="773">
        <f t="shared" si="146"/>
        <v>150000</v>
      </c>
      <c r="X119" s="773">
        <f t="shared" si="146"/>
        <v>175000</v>
      </c>
      <c r="Y119" s="773">
        <f t="shared" si="146"/>
        <v>195833.33333333334</v>
      </c>
      <c r="Z119" s="773">
        <f t="shared" si="146"/>
        <v>195833.33333333334</v>
      </c>
      <c r="AA119" s="773">
        <f t="shared" si="146"/>
        <v>195833.33333333334</v>
      </c>
      <c r="AB119" s="773">
        <f t="shared" si="146"/>
        <v>195833.33333333334</v>
      </c>
      <c r="AC119" s="773">
        <f t="shared" si="146"/>
        <v>195833.33333333334</v>
      </c>
      <c r="AD119" s="773">
        <f t="shared" si="146"/>
        <v>195833.33333333334</v>
      </c>
      <c r="AE119" s="773">
        <f t="shared" si="146"/>
        <v>195833.33333333334</v>
      </c>
      <c r="AF119" s="773">
        <f t="shared" si="146"/>
        <v>195833.33333333334</v>
      </c>
      <c r="AG119" s="952">
        <f>SUM(U119:AF119)</f>
        <v>2116666.6666666665</v>
      </c>
      <c r="AH119" s="928">
        <f t="shared" ref="AH119:AO119" si="147">AH117*AH118</f>
        <v>2350000</v>
      </c>
      <c r="AI119" s="928">
        <f t="shared" si="147"/>
        <v>2350000</v>
      </c>
      <c r="AJ119" s="928">
        <f t="shared" si="147"/>
        <v>2350000</v>
      </c>
      <c r="AK119" s="928">
        <f t="shared" si="147"/>
        <v>2350000</v>
      </c>
      <c r="AL119" s="928">
        <f t="shared" si="147"/>
        <v>2350000</v>
      </c>
      <c r="AM119" s="928">
        <f t="shared" si="147"/>
        <v>2350000</v>
      </c>
      <c r="AN119" s="928">
        <f t="shared" si="147"/>
        <v>2350000</v>
      </c>
      <c r="AO119" s="928">
        <f t="shared" si="147"/>
        <v>2350000</v>
      </c>
    </row>
    <row r="120" spans="1:41" x14ac:dyDescent="0.2">
      <c r="A120" s="36"/>
      <c r="B120" s="15"/>
      <c r="C120" s="15"/>
      <c r="D120" s="15"/>
      <c r="E120" s="15"/>
      <c r="F120" s="15"/>
      <c r="G120" s="87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1:41" x14ac:dyDescent="0.2">
      <c r="A121" s="774" t="s">
        <v>341</v>
      </c>
      <c r="B121" s="772"/>
      <c r="C121" s="798">
        <v>0</v>
      </c>
      <c r="D121" s="798">
        <v>0</v>
      </c>
      <c r="E121" s="798">
        <v>0</v>
      </c>
      <c r="F121" s="798">
        <v>0</v>
      </c>
      <c r="G121" s="932">
        <f>SUM(C121:F121)</f>
        <v>0</v>
      </c>
      <c r="H121" s="775">
        <f t="shared" ref="H121:S121" si="148">$T121/12</f>
        <v>1666.6666666666667</v>
      </c>
      <c r="I121" s="775">
        <f t="shared" si="148"/>
        <v>1666.6666666666667</v>
      </c>
      <c r="J121" s="775">
        <f t="shared" si="148"/>
        <v>1666.6666666666667</v>
      </c>
      <c r="K121" s="775">
        <f t="shared" si="148"/>
        <v>1666.6666666666667</v>
      </c>
      <c r="L121" s="775">
        <f t="shared" si="148"/>
        <v>1666.6666666666667</v>
      </c>
      <c r="M121" s="775">
        <f t="shared" si="148"/>
        <v>1666.6666666666667</v>
      </c>
      <c r="N121" s="775">
        <f t="shared" si="148"/>
        <v>1666.6666666666667</v>
      </c>
      <c r="O121" s="775">
        <f t="shared" si="148"/>
        <v>1666.6666666666667</v>
      </c>
      <c r="P121" s="775">
        <f t="shared" si="148"/>
        <v>1666.6666666666667</v>
      </c>
      <c r="Q121" s="775">
        <f t="shared" si="148"/>
        <v>1666.6666666666667</v>
      </c>
      <c r="R121" s="775">
        <f t="shared" si="148"/>
        <v>1666.6666666666667</v>
      </c>
      <c r="S121" s="775">
        <f t="shared" si="148"/>
        <v>1666.6666666666667</v>
      </c>
      <c r="T121" s="776">
        <v>20000</v>
      </c>
      <c r="U121" s="775">
        <f>$AG121/12</f>
        <v>8333.3333333333339</v>
      </c>
      <c r="V121" s="775">
        <f t="shared" ref="V121:AF121" si="149">$AG121/12</f>
        <v>8333.3333333333339</v>
      </c>
      <c r="W121" s="775">
        <f t="shared" si="149"/>
        <v>8333.3333333333339</v>
      </c>
      <c r="X121" s="775">
        <f t="shared" si="149"/>
        <v>8333.3333333333339</v>
      </c>
      <c r="Y121" s="775">
        <f t="shared" si="149"/>
        <v>8333.3333333333339</v>
      </c>
      <c r="Z121" s="775">
        <f t="shared" si="149"/>
        <v>8333.3333333333339</v>
      </c>
      <c r="AA121" s="775">
        <f t="shared" si="149"/>
        <v>8333.3333333333339</v>
      </c>
      <c r="AB121" s="775">
        <f t="shared" si="149"/>
        <v>8333.3333333333339</v>
      </c>
      <c r="AC121" s="775">
        <f t="shared" si="149"/>
        <v>8333.3333333333339</v>
      </c>
      <c r="AD121" s="775">
        <f t="shared" si="149"/>
        <v>8333.3333333333339</v>
      </c>
      <c r="AE121" s="775">
        <f t="shared" si="149"/>
        <v>8333.3333333333339</v>
      </c>
      <c r="AF121" s="775">
        <f t="shared" si="149"/>
        <v>8333.3333333333339</v>
      </c>
      <c r="AG121" s="950">
        <v>100000</v>
      </c>
      <c r="AH121" s="777">
        <f>AG121</f>
        <v>100000</v>
      </c>
      <c r="AI121" s="777">
        <f t="shared" ref="AI121:AO121" si="150">AH121</f>
        <v>100000</v>
      </c>
      <c r="AJ121" s="777">
        <f t="shared" si="150"/>
        <v>100000</v>
      </c>
      <c r="AK121" s="777">
        <f t="shared" si="150"/>
        <v>100000</v>
      </c>
      <c r="AL121" s="777">
        <f t="shared" si="150"/>
        <v>100000</v>
      </c>
      <c r="AM121" s="777">
        <f t="shared" si="150"/>
        <v>100000</v>
      </c>
      <c r="AN121" s="777">
        <f t="shared" si="150"/>
        <v>100000</v>
      </c>
      <c r="AO121" s="777">
        <f t="shared" si="150"/>
        <v>100000</v>
      </c>
    </row>
    <row r="122" spans="1:41" x14ac:dyDescent="0.2">
      <c r="A122" s="779" t="s">
        <v>269</v>
      </c>
      <c r="B122" s="772"/>
      <c r="C122" s="781" t="str">
        <f>IF('P&amp;L'!C$3&gt;0,C121/'P&amp;L'!C$3,"n/m")</f>
        <v>n/m</v>
      </c>
      <c r="D122" s="781" t="str">
        <f>IF('P&amp;L'!D$3&gt;0,D121/'P&amp;L'!D$3,"n/m")</f>
        <v>n/m</v>
      </c>
      <c r="E122" s="781" t="str">
        <f>IF('P&amp;L'!E$3&gt;0,E121/'P&amp;L'!E$3,"n/m")</f>
        <v>n/m</v>
      </c>
      <c r="F122" s="781" t="str">
        <f>IF('P&amp;L'!F$3&gt;0,F121/'P&amp;L'!F$3,"n/m")</f>
        <v>n/m</v>
      </c>
      <c r="G122" s="933" t="str">
        <f>IF('P&amp;L'!G$3&gt;0,G121/'P&amp;L'!G$3,"n/m")</f>
        <v>n/m</v>
      </c>
      <c r="H122" s="781" t="str">
        <f>IF('P&amp;L'!H$3&gt;0,H121/'P&amp;L'!H$3,"n/m")</f>
        <v>n/m</v>
      </c>
      <c r="I122" s="781" t="str">
        <f>IF('P&amp;L'!I$3&gt;0,I121/'P&amp;L'!I$3,"n/m")</f>
        <v>n/m</v>
      </c>
      <c r="J122" s="781" t="str">
        <f>IF('P&amp;L'!J$3&gt;0,J121/'P&amp;L'!J$3,"n/m")</f>
        <v>n/m</v>
      </c>
      <c r="K122" s="781" t="str">
        <f>IF('P&amp;L'!K$3&gt;0,K121/'P&amp;L'!K$3,"n/m")</f>
        <v>n/m</v>
      </c>
      <c r="L122" s="781" t="str">
        <f>IF('P&amp;L'!L$3&gt;0,L121/'P&amp;L'!L$3,"n/m")</f>
        <v>n/m</v>
      </c>
      <c r="M122" s="781" t="str">
        <f>IF('P&amp;L'!M$3&gt;0,M121/'P&amp;L'!M$3,"n/m")</f>
        <v>n/m</v>
      </c>
      <c r="N122" s="781" t="str">
        <f>IF('P&amp;L'!N$3&gt;0,N121/'P&amp;L'!N$3,"n/m")</f>
        <v>n/m</v>
      </c>
      <c r="O122" s="781" t="str">
        <f>IF('P&amp;L'!O$3&gt;0,O121/'P&amp;L'!O$3,"n/m")</f>
        <v>n/m</v>
      </c>
      <c r="P122" s="781" t="str">
        <f>IF('P&amp;L'!P$3&gt;0,P121/'P&amp;L'!P$3,"n/m")</f>
        <v>n/m</v>
      </c>
      <c r="Q122" s="781" t="str">
        <f>IF('P&amp;L'!Q$3&gt;0,Q121/'P&amp;L'!Q$3,"n/m")</f>
        <v>n/m</v>
      </c>
      <c r="R122" s="781" t="str">
        <f>IF('P&amp;L'!R$3&gt;0,R121/'P&amp;L'!R$3,"n/m")</f>
        <v>n/m</v>
      </c>
      <c r="S122" s="781" t="str">
        <f>IF('P&amp;L'!S$3&gt;0,S121/'P&amp;L'!S$3,"n/m")</f>
        <v>n/m</v>
      </c>
      <c r="T122" s="933" t="str">
        <f>IF('P&amp;L'!T$3&gt;0,T121/'P&amp;L'!T$3,"n/m")</f>
        <v>n/m</v>
      </c>
      <c r="U122" s="781" t="str">
        <f>IF('P&amp;L'!U$3&gt;0,U121/'P&amp;L'!U$3,"n/m")</f>
        <v>n/m</v>
      </c>
      <c r="V122" s="781" t="str">
        <f>IF('P&amp;L'!V$3&gt;0,V121/'P&amp;L'!V$3,"n/m")</f>
        <v>n/m</v>
      </c>
      <c r="W122" s="781">
        <f>IF('P&amp;L'!W$3&gt;0,W121/'P&amp;L'!W$3,"n/m")</f>
        <v>1.4406627048442281E-2</v>
      </c>
      <c r="X122" s="781">
        <f>IF('P&amp;L'!X$3&gt;0,X121/'P&amp;L'!X$3,"n/m")</f>
        <v>1.1788977306218687E-2</v>
      </c>
      <c r="Y122" s="781">
        <f>IF('P&amp;L'!Y$3&gt;0,Y121/'P&amp;L'!Y$3,"n/m")</f>
        <v>1.0158730158730159E-2</v>
      </c>
      <c r="Z122" s="781">
        <f>IF('P&amp;L'!Z$3&gt;0,Z121/'P&amp;L'!Z$3,"n/m")</f>
        <v>9.0702947845804991E-3</v>
      </c>
      <c r="AA122" s="781">
        <f>IF('P&amp;L'!AA$3&gt;0,AA121/'P&amp;L'!AA$3,"n/m")</f>
        <v>8.1925243215565796E-3</v>
      </c>
      <c r="AB122" s="781">
        <f>IF('P&amp;L'!AB$3&gt;0,AB121/'P&amp;L'!AB$3,"n/m")</f>
        <v>7.4696545284780582E-3</v>
      </c>
      <c r="AC122" s="781">
        <f>IF('P&amp;L'!AC$3&gt;0,AC121/'P&amp;L'!AC$3,"n/m")</f>
        <v>6.8640068640068649E-3</v>
      </c>
      <c r="AD122" s="781">
        <f>IF('P&amp;L'!AD$3&gt;0,AD121/'P&amp;L'!AD$3,"n/m")</f>
        <v>6.3492063492063501E-3</v>
      </c>
      <c r="AE122" s="781">
        <f>IF('P&amp;L'!AE$3&gt;0,AE121/'P&amp;L'!AE$3,"n/m")</f>
        <v>5.9062384643779999E-3</v>
      </c>
      <c r="AF122" s="781">
        <f>IF('P&amp;L'!AF$3&gt;0,AF121/'P&amp;L'!AF$3,"n/m")</f>
        <v>5.521048999309869E-3</v>
      </c>
      <c r="AG122" s="933">
        <f>IF('P&amp;L'!AG$3&gt;0,AG121/'P&amp;L'!AG$3,"n/m")</f>
        <v>9.4303480387823071E-3</v>
      </c>
      <c r="AH122" s="933">
        <f>IF('P&amp;L'!AH$3&gt;0,AH121/'P&amp;L'!AH$3,"n/m")</f>
        <v>3.0927789217838147E-3</v>
      </c>
      <c r="AI122" s="933">
        <f>IF('P&amp;L'!AI$3&gt;0,AI121/'P&amp;L'!AI$3,"n/m")</f>
        <v>1.6198552674755733E-3</v>
      </c>
      <c r="AJ122" s="933">
        <f>IF('P&amp;L'!AJ$3&gt;0,AJ121/'P&amp;L'!AJ$3,"n/m")</f>
        <v>9.5619881577567727E-4</v>
      </c>
      <c r="AK122" s="933">
        <f>IF('P&amp;L'!AK$3&gt;0,AK121/'P&amp;L'!AK$3,"n/m")</f>
        <v>6.2217911744443021E-4</v>
      </c>
      <c r="AL122" s="933">
        <f>IF('P&amp;L'!AL$3&gt;0,AL121/'P&amp;L'!AL$3,"n/m")</f>
        <v>4.7470274726167693E-4</v>
      </c>
      <c r="AM122" s="933">
        <f>IF('P&amp;L'!AM$3&gt;0,AM121/'P&amp;L'!AM$3,"n/m")</f>
        <v>4.0389098504793537E-4</v>
      </c>
      <c r="AN122" s="933">
        <f>IF('P&amp;L'!AN$3&gt;0,AN121/'P&amp;L'!AN$3,"n/m")</f>
        <v>3.5395086287288069E-4</v>
      </c>
      <c r="AO122" s="933">
        <f>IF('P&amp;L'!AO$3&gt;0,AO121/'P&amp;L'!AO$3,"n/m")</f>
        <v>3.1519171803082678E-4</v>
      </c>
    </row>
    <row r="123" spans="1:41" x14ac:dyDescent="0.2">
      <c r="A123" s="779"/>
      <c r="B123" s="772"/>
      <c r="C123" s="772"/>
      <c r="D123" s="772"/>
      <c r="E123" s="772"/>
      <c r="F123" s="772"/>
      <c r="G123" s="960"/>
      <c r="H123" s="781"/>
      <c r="I123" s="781"/>
      <c r="J123" s="781"/>
      <c r="K123" s="781"/>
      <c r="L123" s="781"/>
      <c r="M123" s="781"/>
      <c r="N123" s="781"/>
      <c r="O123" s="781"/>
      <c r="P123" s="781"/>
      <c r="Q123" s="781"/>
      <c r="R123" s="781"/>
      <c r="S123" s="781"/>
      <c r="T123" s="776"/>
      <c r="U123" s="781"/>
      <c r="V123" s="781"/>
      <c r="W123" s="781"/>
      <c r="X123" s="781"/>
      <c r="Y123" s="781"/>
      <c r="Z123" s="781"/>
      <c r="AA123" s="781"/>
      <c r="AB123" s="781"/>
      <c r="AC123" s="781"/>
      <c r="AD123" s="781"/>
      <c r="AE123" s="781"/>
      <c r="AF123" s="781"/>
      <c r="AG123" s="933"/>
      <c r="AH123" s="933"/>
      <c r="AI123" s="933"/>
      <c r="AJ123" s="933"/>
      <c r="AK123" s="933"/>
      <c r="AL123" s="933"/>
      <c r="AM123" s="933"/>
      <c r="AN123" s="933"/>
      <c r="AO123" s="933"/>
    </row>
    <row r="124" spans="1:41" x14ac:dyDescent="0.2">
      <c r="A124" s="774" t="s">
        <v>413</v>
      </c>
      <c r="B124" s="772"/>
      <c r="C124" s="798">
        <v>0</v>
      </c>
      <c r="D124" s="798">
        <v>0</v>
      </c>
      <c r="E124" s="798">
        <v>0</v>
      </c>
      <c r="F124" s="798">
        <v>0</v>
      </c>
      <c r="G124" s="932">
        <f>SUM(C124:F124)</f>
        <v>0</v>
      </c>
      <c r="H124" s="775">
        <f t="shared" ref="H124:S124" si="151">$T124/12</f>
        <v>833.33333333333337</v>
      </c>
      <c r="I124" s="775">
        <f t="shared" si="151"/>
        <v>833.33333333333337</v>
      </c>
      <c r="J124" s="775">
        <f t="shared" si="151"/>
        <v>833.33333333333337</v>
      </c>
      <c r="K124" s="775">
        <f t="shared" si="151"/>
        <v>833.33333333333337</v>
      </c>
      <c r="L124" s="775">
        <f t="shared" si="151"/>
        <v>833.33333333333337</v>
      </c>
      <c r="M124" s="775">
        <f t="shared" si="151"/>
        <v>833.33333333333337</v>
      </c>
      <c r="N124" s="775">
        <f t="shared" si="151"/>
        <v>833.33333333333337</v>
      </c>
      <c r="O124" s="775">
        <f t="shared" si="151"/>
        <v>833.33333333333337</v>
      </c>
      <c r="P124" s="775">
        <f t="shared" si="151"/>
        <v>833.33333333333337</v>
      </c>
      <c r="Q124" s="775">
        <f t="shared" si="151"/>
        <v>833.33333333333337</v>
      </c>
      <c r="R124" s="775">
        <f t="shared" si="151"/>
        <v>833.33333333333337</v>
      </c>
      <c r="S124" s="775">
        <f t="shared" si="151"/>
        <v>833.33333333333337</v>
      </c>
      <c r="T124" s="776">
        <v>10000</v>
      </c>
      <c r="U124" s="775">
        <f>$AG124/12</f>
        <v>833.33333333333337</v>
      </c>
      <c r="V124" s="775">
        <f t="shared" ref="V124:AF124" si="152">$AG124/12</f>
        <v>833.33333333333337</v>
      </c>
      <c r="W124" s="775">
        <f t="shared" si="152"/>
        <v>833.33333333333337</v>
      </c>
      <c r="X124" s="775">
        <f t="shared" si="152"/>
        <v>833.33333333333337</v>
      </c>
      <c r="Y124" s="775">
        <f t="shared" si="152"/>
        <v>833.33333333333337</v>
      </c>
      <c r="Z124" s="775">
        <f t="shared" si="152"/>
        <v>833.33333333333337</v>
      </c>
      <c r="AA124" s="775">
        <f t="shared" si="152"/>
        <v>833.33333333333337</v>
      </c>
      <c r="AB124" s="775">
        <f t="shared" si="152"/>
        <v>833.33333333333337</v>
      </c>
      <c r="AC124" s="775">
        <f t="shared" si="152"/>
        <v>833.33333333333337</v>
      </c>
      <c r="AD124" s="775">
        <f t="shared" si="152"/>
        <v>833.33333333333337</v>
      </c>
      <c r="AE124" s="775">
        <f t="shared" si="152"/>
        <v>833.33333333333337</v>
      </c>
      <c r="AF124" s="775">
        <f t="shared" si="152"/>
        <v>833.33333333333337</v>
      </c>
      <c r="AG124" s="950">
        <v>10000</v>
      </c>
      <c r="AH124" s="777">
        <f t="shared" ref="AH124:AO124" si="153">AG124</f>
        <v>10000</v>
      </c>
      <c r="AI124" s="777">
        <f t="shared" si="153"/>
        <v>10000</v>
      </c>
      <c r="AJ124" s="777">
        <f t="shared" si="153"/>
        <v>10000</v>
      </c>
      <c r="AK124" s="777">
        <f t="shared" si="153"/>
        <v>10000</v>
      </c>
      <c r="AL124" s="777">
        <f t="shared" si="153"/>
        <v>10000</v>
      </c>
      <c r="AM124" s="777">
        <f t="shared" si="153"/>
        <v>10000</v>
      </c>
      <c r="AN124" s="777">
        <f t="shared" si="153"/>
        <v>10000</v>
      </c>
      <c r="AO124" s="777">
        <f t="shared" si="153"/>
        <v>10000</v>
      </c>
    </row>
    <row r="125" spans="1:41" x14ac:dyDescent="0.2">
      <c r="A125" s="779" t="s">
        <v>269</v>
      </c>
      <c r="B125" s="772"/>
      <c r="C125" s="781" t="str">
        <f>IF('P&amp;L'!C$3&gt;0,C124/'P&amp;L'!C$3,"n/m")</f>
        <v>n/m</v>
      </c>
      <c r="D125" s="781" t="str">
        <f>IF('P&amp;L'!D$3&gt;0,D124/'P&amp;L'!D$3,"n/m")</f>
        <v>n/m</v>
      </c>
      <c r="E125" s="781" t="str">
        <f>IF('P&amp;L'!E$3&gt;0,E124/'P&amp;L'!E$3,"n/m")</f>
        <v>n/m</v>
      </c>
      <c r="F125" s="781" t="str">
        <f>IF('P&amp;L'!F$3&gt;0,F124/'P&amp;L'!F$3,"n/m")</f>
        <v>n/m</v>
      </c>
      <c r="G125" s="933" t="str">
        <f>IF('P&amp;L'!G$3&gt;0,G124/'P&amp;L'!G$3,"n/m")</f>
        <v>n/m</v>
      </c>
      <c r="H125" s="781" t="str">
        <f>IF('P&amp;L'!H$3&gt;0,H124/'P&amp;L'!H$3,"n/m")</f>
        <v>n/m</v>
      </c>
      <c r="I125" s="781" t="str">
        <f>IF('P&amp;L'!I$3&gt;0,I124/'P&amp;L'!I$3,"n/m")</f>
        <v>n/m</v>
      </c>
      <c r="J125" s="781" t="str">
        <f>IF('P&amp;L'!J$3&gt;0,J124/'P&amp;L'!J$3,"n/m")</f>
        <v>n/m</v>
      </c>
      <c r="K125" s="781" t="str">
        <f>IF('P&amp;L'!K$3&gt;0,K124/'P&amp;L'!K$3,"n/m")</f>
        <v>n/m</v>
      </c>
      <c r="L125" s="781" t="str">
        <f>IF('P&amp;L'!L$3&gt;0,L124/'P&amp;L'!L$3,"n/m")</f>
        <v>n/m</v>
      </c>
      <c r="M125" s="781" t="str">
        <f>IF('P&amp;L'!M$3&gt;0,M124/'P&amp;L'!M$3,"n/m")</f>
        <v>n/m</v>
      </c>
      <c r="N125" s="781" t="str">
        <f>IF('P&amp;L'!N$3&gt;0,N124/'P&amp;L'!N$3,"n/m")</f>
        <v>n/m</v>
      </c>
      <c r="O125" s="781" t="str">
        <f>IF('P&amp;L'!O$3&gt;0,O124/'P&amp;L'!O$3,"n/m")</f>
        <v>n/m</v>
      </c>
      <c r="P125" s="781" t="str">
        <f>IF('P&amp;L'!P$3&gt;0,P124/'P&amp;L'!P$3,"n/m")</f>
        <v>n/m</v>
      </c>
      <c r="Q125" s="781" t="str">
        <f>IF('P&amp;L'!Q$3&gt;0,Q124/'P&amp;L'!Q$3,"n/m")</f>
        <v>n/m</v>
      </c>
      <c r="R125" s="781" t="str">
        <f>IF('P&amp;L'!R$3&gt;0,R124/'P&amp;L'!R$3,"n/m")</f>
        <v>n/m</v>
      </c>
      <c r="S125" s="781" t="str">
        <f>IF('P&amp;L'!S$3&gt;0,S124/'P&amp;L'!S$3,"n/m")</f>
        <v>n/m</v>
      </c>
      <c r="T125" s="933" t="str">
        <f>IF('P&amp;L'!T$3&gt;0,T124/'P&amp;L'!T$3,"n/m")</f>
        <v>n/m</v>
      </c>
      <c r="U125" s="781" t="str">
        <f>IF('P&amp;L'!U$3&gt;0,U124/'P&amp;L'!U$3,"n/m")</f>
        <v>n/m</v>
      </c>
      <c r="V125" s="781" t="str">
        <f>IF('P&amp;L'!V$3&gt;0,V124/'P&amp;L'!V$3,"n/m")</f>
        <v>n/m</v>
      </c>
      <c r="W125" s="781">
        <f>IF('P&amp;L'!W$3&gt;0,W124/'P&amp;L'!W$3,"n/m")</f>
        <v>1.4406627048442282E-3</v>
      </c>
      <c r="X125" s="781">
        <f>IF('P&amp;L'!X$3&gt;0,X124/'P&amp;L'!X$3,"n/m")</f>
        <v>1.1788977306218687E-3</v>
      </c>
      <c r="Y125" s="781">
        <f>IF('P&amp;L'!Y$3&gt;0,Y124/'P&amp;L'!Y$3,"n/m")</f>
        <v>1.0158730158730158E-3</v>
      </c>
      <c r="Z125" s="781">
        <f>IF('P&amp;L'!Z$3&gt;0,Z124/'P&amp;L'!Z$3,"n/m")</f>
        <v>9.0702947845804993E-4</v>
      </c>
      <c r="AA125" s="781">
        <f>IF('P&amp;L'!AA$3&gt;0,AA124/'P&amp;L'!AA$3,"n/m")</f>
        <v>8.1925243215565796E-4</v>
      </c>
      <c r="AB125" s="781">
        <f>IF('P&amp;L'!AB$3&gt;0,AB124/'P&amp;L'!AB$3,"n/m")</f>
        <v>7.4696545284780585E-4</v>
      </c>
      <c r="AC125" s="781">
        <f>IF('P&amp;L'!AC$3&gt;0,AC124/'P&amp;L'!AC$3,"n/m")</f>
        <v>6.8640068640068639E-4</v>
      </c>
      <c r="AD125" s="781">
        <f>IF('P&amp;L'!AD$3&gt;0,AD124/'P&amp;L'!AD$3,"n/m")</f>
        <v>6.3492063492063492E-4</v>
      </c>
      <c r="AE125" s="781">
        <f>IF('P&amp;L'!AE$3&gt;0,AE124/'P&amp;L'!AE$3,"n/m")</f>
        <v>5.9062384643779992E-4</v>
      </c>
      <c r="AF125" s="781">
        <f>IF('P&amp;L'!AF$3&gt;0,AF124/'P&amp;L'!AF$3,"n/m")</f>
        <v>5.5210489993098692E-4</v>
      </c>
      <c r="AG125" s="933">
        <f>IF('P&amp;L'!AG$3&gt;0,AG124/'P&amp;L'!AG$3,"n/m")</f>
        <v>9.4303480387823062E-4</v>
      </c>
      <c r="AH125" s="933">
        <f>IF('P&amp;L'!AH$3&gt;0,AH124/'P&amp;L'!AH$3,"n/m")</f>
        <v>3.0927789217838147E-4</v>
      </c>
      <c r="AI125" s="933">
        <f>IF('P&amp;L'!AI$3&gt;0,AI124/'P&amp;L'!AI$3,"n/m")</f>
        <v>1.6198552674755732E-4</v>
      </c>
      <c r="AJ125" s="933">
        <f>IF('P&amp;L'!AJ$3&gt;0,AJ124/'P&amp;L'!AJ$3,"n/m")</f>
        <v>9.5619881577567722E-5</v>
      </c>
      <c r="AK125" s="933">
        <f>IF('P&amp;L'!AK$3&gt;0,AK124/'P&amp;L'!AK$3,"n/m")</f>
        <v>6.2217911744443023E-5</v>
      </c>
      <c r="AL125" s="933">
        <f>IF('P&amp;L'!AL$3&gt;0,AL124/'P&amp;L'!AL$3,"n/m")</f>
        <v>4.7470274726167696E-5</v>
      </c>
      <c r="AM125" s="933">
        <f>IF('P&amp;L'!AM$3&gt;0,AM124/'P&amp;L'!AM$3,"n/m")</f>
        <v>4.0389098504793537E-5</v>
      </c>
      <c r="AN125" s="933">
        <f>IF('P&amp;L'!AN$3&gt;0,AN124/'P&amp;L'!AN$3,"n/m")</f>
        <v>3.5395086287288067E-5</v>
      </c>
      <c r="AO125" s="933">
        <f>IF('P&amp;L'!AO$3&gt;0,AO124/'P&amp;L'!AO$3,"n/m")</f>
        <v>3.151917180308268E-5</v>
      </c>
    </row>
    <row r="126" spans="1:41" x14ac:dyDescent="0.2">
      <c r="A126" s="779"/>
      <c r="B126" s="772"/>
      <c r="C126" s="772"/>
      <c r="D126" s="772"/>
      <c r="E126" s="772"/>
      <c r="F126" s="772"/>
      <c r="G126" s="960"/>
      <c r="H126" s="781"/>
      <c r="I126" s="781"/>
      <c r="J126" s="781"/>
      <c r="K126" s="781"/>
      <c r="L126" s="781"/>
      <c r="M126" s="781"/>
      <c r="N126" s="781"/>
      <c r="O126" s="781"/>
      <c r="P126" s="781"/>
      <c r="Q126" s="781"/>
      <c r="R126" s="781"/>
      <c r="S126" s="781"/>
      <c r="T126" s="776"/>
      <c r="U126" s="781"/>
      <c r="V126" s="781"/>
      <c r="W126" s="781"/>
      <c r="X126" s="781"/>
      <c r="Y126" s="781"/>
      <c r="Z126" s="781"/>
      <c r="AA126" s="781"/>
      <c r="AB126" s="781"/>
      <c r="AC126" s="781"/>
      <c r="AD126" s="781"/>
      <c r="AE126" s="781"/>
      <c r="AF126" s="781"/>
      <c r="AG126" s="933"/>
      <c r="AH126" s="933"/>
      <c r="AI126" s="933"/>
      <c r="AJ126" s="933"/>
      <c r="AK126" s="933"/>
      <c r="AL126" s="933"/>
      <c r="AM126" s="933"/>
      <c r="AN126" s="933"/>
      <c r="AO126" s="933"/>
    </row>
    <row r="127" spans="1:41" x14ac:dyDescent="0.2">
      <c r="A127" s="774" t="s">
        <v>396</v>
      </c>
      <c r="B127" s="772"/>
      <c r="C127" s="772"/>
      <c r="D127" s="772"/>
      <c r="E127" s="772"/>
      <c r="F127" s="772"/>
      <c r="G127" s="960"/>
      <c r="H127" s="775"/>
      <c r="I127" s="775"/>
      <c r="J127" s="775"/>
      <c r="K127" s="775"/>
      <c r="L127" s="775"/>
      <c r="M127" s="775"/>
      <c r="N127" s="775"/>
      <c r="O127" s="775"/>
      <c r="P127" s="775"/>
      <c r="Q127" s="775"/>
      <c r="R127" s="775"/>
      <c r="S127" s="775"/>
      <c r="T127" s="796"/>
      <c r="U127" s="775"/>
      <c r="V127" s="775"/>
      <c r="W127" s="775"/>
      <c r="X127" s="775"/>
      <c r="Y127" s="775"/>
      <c r="Z127" s="775"/>
      <c r="AA127" s="775"/>
      <c r="AB127" s="775"/>
      <c r="AC127" s="775"/>
      <c r="AD127" s="775"/>
      <c r="AE127" s="775"/>
      <c r="AF127" s="775"/>
      <c r="AG127" s="950"/>
      <c r="AH127" s="777"/>
      <c r="AI127" s="777"/>
      <c r="AJ127" s="777"/>
      <c r="AK127" s="777"/>
      <c r="AL127" s="777"/>
      <c r="AM127" s="777"/>
      <c r="AN127" s="777"/>
      <c r="AO127" s="777"/>
    </row>
    <row r="128" spans="1:41" x14ac:dyDescent="0.2">
      <c r="A128" s="797" t="s">
        <v>397</v>
      </c>
      <c r="B128" s="15"/>
      <c r="C128" s="44">
        <f>C15+C10</f>
        <v>0</v>
      </c>
      <c r="D128" s="44">
        <f>D15+D10</f>
        <v>0</v>
      </c>
      <c r="E128" s="44">
        <f>E15+E10</f>
        <v>0</v>
      </c>
      <c r="F128" s="44">
        <f>F15+F10</f>
        <v>0</v>
      </c>
      <c r="G128" s="45">
        <f>SUM(C128:F128)</f>
        <v>0</v>
      </c>
      <c r="H128" s="696">
        <f t="shared" ref="H128:S128" si="154">16667+H15</f>
        <v>16667</v>
      </c>
      <c r="I128" s="696">
        <f t="shared" si="154"/>
        <v>16667</v>
      </c>
      <c r="J128" s="696">
        <f t="shared" si="154"/>
        <v>16667</v>
      </c>
      <c r="K128" s="696">
        <f t="shared" si="154"/>
        <v>16667</v>
      </c>
      <c r="L128" s="696">
        <f t="shared" si="154"/>
        <v>16667</v>
      </c>
      <c r="M128" s="696">
        <f t="shared" si="154"/>
        <v>16667</v>
      </c>
      <c r="N128" s="696">
        <f t="shared" si="154"/>
        <v>16667</v>
      </c>
      <c r="O128" s="696">
        <f t="shared" si="154"/>
        <v>16667</v>
      </c>
      <c r="P128" s="696">
        <f t="shared" si="154"/>
        <v>16667</v>
      </c>
      <c r="Q128" s="696">
        <f t="shared" si="154"/>
        <v>16667</v>
      </c>
      <c r="R128" s="696">
        <f t="shared" si="154"/>
        <v>16667</v>
      </c>
      <c r="S128" s="696">
        <f t="shared" si="154"/>
        <v>16667</v>
      </c>
      <c r="T128" s="814">
        <f t="shared" ref="T128:AO128" si="155">T9+T14</f>
        <v>420000</v>
      </c>
      <c r="U128" s="696">
        <f t="shared" si="155"/>
        <v>41666.666666666672</v>
      </c>
      <c r="V128" s="696">
        <f t="shared" si="155"/>
        <v>41666.666666666672</v>
      </c>
      <c r="W128" s="696">
        <f t="shared" si="155"/>
        <v>41666.666666666672</v>
      </c>
      <c r="X128" s="696">
        <f t="shared" si="155"/>
        <v>41666.666666666672</v>
      </c>
      <c r="Y128" s="696">
        <f t="shared" si="155"/>
        <v>41666.666666666672</v>
      </c>
      <c r="Z128" s="696">
        <f t="shared" si="155"/>
        <v>41666.666666666672</v>
      </c>
      <c r="AA128" s="696">
        <f t="shared" si="155"/>
        <v>41666.666666666672</v>
      </c>
      <c r="AB128" s="696">
        <f t="shared" si="155"/>
        <v>41666.666666666672</v>
      </c>
      <c r="AC128" s="696">
        <f t="shared" si="155"/>
        <v>41666.666666666672</v>
      </c>
      <c r="AD128" s="696">
        <f t="shared" si="155"/>
        <v>41666.666666666672</v>
      </c>
      <c r="AE128" s="696">
        <f t="shared" si="155"/>
        <v>41666.666666666672</v>
      </c>
      <c r="AF128" s="696">
        <f t="shared" si="155"/>
        <v>41666.666666666672</v>
      </c>
      <c r="AG128" s="814">
        <f t="shared" si="155"/>
        <v>500000</v>
      </c>
      <c r="AH128" s="814">
        <f t="shared" si="155"/>
        <v>500000</v>
      </c>
      <c r="AI128" s="814">
        <f t="shared" si="155"/>
        <v>500000</v>
      </c>
      <c r="AJ128" s="814">
        <f t="shared" si="155"/>
        <v>500000</v>
      </c>
      <c r="AK128" s="814">
        <f t="shared" si="155"/>
        <v>500000</v>
      </c>
      <c r="AL128" s="814">
        <f t="shared" si="155"/>
        <v>500000</v>
      </c>
      <c r="AM128" s="814">
        <f t="shared" si="155"/>
        <v>500000</v>
      </c>
      <c r="AN128" s="814">
        <f t="shared" si="155"/>
        <v>500000</v>
      </c>
      <c r="AO128" s="814">
        <f t="shared" si="155"/>
        <v>500000</v>
      </c>
    </row>
    <row r="129" spans="1:41" x14ac:dyDescent="0.2">
      <c r="A129" s="802" t="s">
        <v>398</v>
      </c>
      <c r="B129" s="772"/>
      <c r="C129" s="778">
        <v>0</v>
      </c>
      <c r="D129" s="778">
        <v>0</v>
      </c>
      <c r="E129" s="778">
        <v>0</v>
      </c>
      <c r="F129" s="778">
        <v>0</v>
      </c>
      <c r="G129" s="928">
        <f>SUM(C129:F129)</f>
        <v>0</v>
      </c>
      <c r="H129" s="778">
        <v>0</v>
      </c>
      <c r="I129" s="778">
        <v>0</v>
      </c>
      <c r="J129" s="778">
        <v>0</v>
      </c>
      <c r="K129" s="778">
        <v>0</v>
      </c>
      <c r="L129" s="778">
        <v>0</v>
      </c>
      <c r="M129" s="778">
        <v>0</v>
      </c>
      <c r="N129" s="778">
        <v>0</v>
      </c>
      <c r="O129" s="778">
        <v>0</v>
      </c>
      <c r="P129" s="778">
        <v>0</v>
      </c>
      <c r="Q129" s="778">
        <v>0</v>
      </c>
      <c r="R129" s="778">
        <v>0</v>
      </c>
      <c r="S129" s="778">
        <v>0</v>
      </c>
      <c r="T129" s="932">
        <f>SUM(H129:S129)</f>
        <v>0</v>
      </c>
      <c r="U129" s="775">
        <f t="shared" ref="U129:AO129" si="156">U128*5*0.03</f>
        <v>6250.0000000000009</v>
      </c>
      <c r="V129" s="775">
        <f t="shared" si="156"/>
        <v>6250.0000000000009</v>
      </c>
      <c r="W129" s="775">
        <f t="shared" si="156"/>
        <v>6250.0000000000009</v>
      </c>
      <c r="X129" s="775">
        <f t="shared" si="156"/>
        <v>6250.0000000000009</v>
      </c>
      <c r="Y129" s="775">
        <f t="shared" si="156"/>
        <v>6250.0000000000009</v>
      </c>
      <c r="Z129" s="775">
        <f t="shared" si="156"/>
        <v>6250.0000000000009</v>
      </c>
      <c r="AA129" s="775">
        <f t="shared" si="156"/>
        <v>6250.0000000000009</v>
      </c>
      <c r="AB129" s="775">
        <f t="shared" si="156"/>
        <v>6250.0000000000009</v>
      </c>
      <c r="AC129" s="775">
        <f t="shared" si="156"/>
        <v>6250.0000000000009</v>
      </c>
      <c r="AD129" s="775">
        <f t="shared" si="156"/>
        <v>6250.0000000000009</v>
      </c>
      <c r="AE129" s="775">
        <f t="shared" si="156"/>
        <v>6250.0000000000009</v>
      </c>
      <c r="AF129" s="775">
        <f t="shared" si="156"/>
        <v>6250.0000000000009</v>
      </c>
      <c r="AG129" s="932">
        <f t="shared" si="156"/>
        <v>75000</v>
      </c>
      <c r="AH129" s="932">
        <f t="shared" si="156"/>
        <v>75000</v>
      </c>
      <c r="AI129" s="932">
        <f t="shared" si="156"/>
        <v>75000</v>
      </c>
      <c r="AJ129" s="932">
        <f t="shared" si="156"/>
        <v>75000</v>
      </c>
      <c r="AK129" s="932">
        <f t="shared" si="156"/>
        <v>75000</v>
      </c>
      <c r="AL129" s="932">
        <f t="shared" si="156"/>
        <v>75000</v>
      </c>
      <c r="AM129" s="932">
        <f t="shared" si="156"/>
        <v>75000</v>
      </c>
      <c r="AN129" s="932">
        <f t="shared" si="156"/>
        <v>75000</v>
      </c>
      <c r="AO129" s="932">
        <f t="shared" si="156"/>
        <v>75000</v>
      </c>
    </row>
    <row r="130" spans="1:41" x14ac:dyDescent="0.2">
      <c r="A130" s="779" t="s">
        <v>269</v>
      </c>
      <c r="B130" s="772"/>
      <c r="C130" s="781" t="str">
        <f>IF('P&amp;L'!C$3&gt;0,C129/'P&amp;L'!C$3,"n/m")</f>
        <v>n/m</v>
      </c>
      <c r="D130" s="781" t="str">
        <f>IF('P&amp;L'!D$3&gt;0,D129/'P&amp;L'!D$3,"n/m")</f>
        <v>n/m</v>
      </c>
      <c r="E130" s="781" t="str">
        <f>IF('P&amp;L'!E$3&gt;0,E129/'P&amp;L'!E$3,"n/m")</f>
        <v>n/m</v>
      </c>
      <c r="F130" s="781" t="str">
        <f>IF('P&amp;L'!F$3&gt;0,F129/'P&amp;L'!F$3,"n/m")</f>
        <v>n/m</v>
      </c>
      <c r="G130" s="933" t="str">
        <f>IF('P&amp;L'!G$3&gt;0,G129/'P&amp;L'!G$3,"n/m")</f>
        <v>n/m</v>
      </c>
      <c r="H130" s="781" t="str">
        <f>IF('P&amp;L'!H$3&gt;0,H129/'P&amp;L'!H$3,"n/m")</f>
        <v>n/m</v>
      </c>
      <c r="I130" s="781" t="str">
        <f>IF('P&amp;L'!I$3&gt;0,I129/'P&amp;L'!I$3,"n/m")</f>
        <v>n/m</v>
      </c>
      <c r="J130" s="781" t="str">
        <f>IF('P&amp;L'!J$3&gt;0,J129/'P&amp;L'!J$3,"n/m")</f>
        <v>n/m</v>
      </c>
      <c r="K130" s="781" t="str">
        <f>IF('P&amp;L'!K$3&gt;0,K129/'P&amp;L'!K$3,"n/m")</f>
        <v>n/m</v>
      </c>
      <c r="L130" s="781" t="str">
        <f>IF('P&amp;L'!L$3&gt;0,L129/'P&amp;L'!L$3,"n/m")</f>
        <v>n/m</v>
      </c>
      <c r="M130" s="781" t="str">
        <f>IF('P&amp;L'!M$3&gt;0,M129/'P&amp;L'!M$3,"n/m")</f>
        <v>n/m</v>
      </c>
      <c r="N130" s="781" t="str">
        <f>IF('P&amp;L'!N$3&gt;0,N129/'P&amp;L'!N$3,"n/m")</f>
        <v>n/m</v>
      </c>
      <c r="O130" s="781" t="str">
        <f>IF('P&amp;L'!O$3&gt;0,O129/'P&amp;L'!O$3,"n/m")</f>
        <v>n/m</v>
      </c>
      <c r="P130" s="781" t="str">
        <f>IF('P&amp;L'!P$3&gt;0,P129/'P&amp;L'!P$3,"n/m")</f>
        <v>n/m</v>
      </c>
      <c r="Q130" s="781" t="str">
        <f>IF('P&amp;L'!Q$3&gt;0,Q129/'P&amp;L'!Q$3,"n/m")</f>
        <v>n/m</v>
      </c>
      <c r="R130" s="781" t="str">
        <f>IF('P&amp;L'!R$3&gt;0,R129/'P&amp;L'!R$3,"n/m")</f>
        <v>n/m</v>
      </c>
      <c r="S130" s="781" t="str">
        <f>IF('P&amp;L'!S$3&gt;0,S129/'P&amp;L'!S$3,"n/m")</f>
        <v>n/m</v>
      </c>
      <c r="T130" s="933" t="str">
        <f>IF('P&amp;L'!T$3&gt;0,T129/'P&amp;L'!T$3,"n/m")</f>
        <v>n/m</v>
      </c>
      <c r="U130" s="781" t="str">
        <f>IF('P&amp;L'!U$3&gt;0,U129/'P&amp;L'!U$3,"n/m")</f>
        <v>n/m</v>
      </c>
      <c r="V130" s="781" t="str">
        <f>IF('P&amp;L'!V$3&gt;0,V129/'P&amp;L'!V$3,"n/m")</f>
        <v>n/m</v>
      </c>
      <c r="W130" s="781">
        <f>IF('P&amp;L'!W$3&gt;0,W129/'P&amp;L'!W$3,"n/m")</f>
        <v>1.0804970286331712E-2</v>
      </c>
      <c r="X130" s="781">
        <f>IF('P&amp;L'!X$3&gt;0,X129/'P&amp;L'!X$3,"n/m")</f>
        <v>8.8417329796640163E-3</v>
      </c>
      <c r="Y130" s="781">
        <f>IF('P&amp;L'!Y$3&gt;0,Y129/'P&amp;L'!Y$3,"n/m")</f>
        <v>7.6190476190476199E-3</v>
      </c>
      <c r="Z130" s="781">
        <f>IF('P&amp;L'!Z$3&gt;0,Z129/'P&amp;L'!Z$3,"n/m")</f>
        <v>6.8027210884353748E-3</v>
      </c>
      <c r="AA130" s="781">
        <f>IF('P&amp;L'!AA$3&gt;0,AA129/'P&amp;L'!AA$3,"n/m")</f>
        <v>6.1443932411674356E-3</v>
      </c>
      <c r="AB130" s="781">
        <f>IF('P&amp;L'!AB$3&gt;0,AB129/'P&amp;L'!AB$3,"n/m")</f>
        <v>5.6022408963585443E-3</v>
      </c>
      <c r="AC130" s="781">
        <f>IF('P&amp;L'!AC$3&gt;0,AC129/'P&amp;L'!AC$3,"n/m")</f>
        <v>5.1480051480051487E-3</v>
      </c>
      <c r="AD130" s="781">
        <f>IF('P&amp;L'!AD$3&gt;0,AD129/'P&amp;L'!AD$3,"n/m")</f>
        <v>4.7619047619047623E-3</v>
      </c>
      <c r="AE130" s="781">
        <f>IF('P&amp;L'!AE$3&gt;0,AE129/'P&amp;L'!AE$3,"n/m")</f>
        <v>4.4296788482835001E-3</v>
      </c>
      <c r="AF130" s="781">
        <f>IF('P&amp;L'!AF$3&gt;0,AF129/'P&amp;L'!AF$3,"n/m")</f>
        <v>4.140786749482402E-3</v>
      </c>
      <c r="AG130" s="933">
        <f>IF('P&amp;L'!AG$3&gt;0,AG129/'P&amp;L'!AG$3,"n/m")</f>
        <v>7.0727610290867299E-3</v>
      </c>
      <c r="AH130" s="933">
        <f>IF('P&amp;L'!AH$3&gt;0,AH129/'P&amp;L'!AH$3,"n/m")</f>
        <v>2.3195841913378609E-3</v>
      </c>
      <c r="AI130" s="933">
        <f>IF('P&amp;L'!AI$3&gt;0,AI129/'P&amp;L'!AI$3,"n/m")</f>
        <v>1.2148914506066799E-3</v>
      </c>
      <c r="AJ130" s="933">
        <f>IF('P&amp;L'!AJ$3&gt;0,AJ129/'P&amp;L'!AJ$3,"n/m")</f>
        <v>7.1714911183175798E-4</v>
      </c>
      <c r="AK130" s="933">
        <f>IF('P&amp;L'!AK$3&gt;0,AK129/'P&amp;L'!AK$3,"n/m")</f>
        <v>4.6663433808332263E-4</v>
      </c>
      <c r="AL130" s="933">
        <f>IF('P&amp;L'!AL$3&gt;0,AL129/'P&amp;L'!AL$3,"n/m")</f>
        <v>3.5602706044625773E-4</v>
      </c>
      <c r="AM130" s="933">
        <f>IF('P&amp;L'!AM$3&gt;0,AM129/'P&amp;L'!AM$3,"n/m")</f>
        <v>3.0291823878595152E-4</v>
      </c>
      <c r="AN130" s="933">
        <f>IF('P&amp;L'!AN$3&gt;0,AN129/'P&amp;L'!AN$3,"n/m")</f>
        <v>2.6546314715466049E-4</v>
      </c>
      <c r="AO130" s="933">
        <f>IF('P&amp;L'!AO$3&gt;0,AO129/'P&amp;L'!AO$3,"n/m")</f>
        <v>2.3639378852312009E-4</v>
      </c>
    </row>
    <row r="131" spans="1:41" x14ac:dyDescent="0.2">
      <c r="A131" s="779"/>
      <c r="B131" s="772"/>
      <c r="C131" s="772"/>
      <c r="D131" s="772"/>
      <c r="E131" s="772"/>
      <c r="F131" s="772"/>
      <c r="G131" s="960"/>
      <c r="H131" s="781"/>
      <c r="I131" s="781"/>
      <c r="J131" s="781"/>
      <c r="K131" s="781"/>
      <c r="L131" s="781"/>
      <c r="M131" s="781"/>
      <c r="N131" s="781"/>
      <c r="O131" s="781"/>
      <c r="P131" s="781"/>
      <c r="Q131" s="781"/>
      <c r="R131" s="781"/>
      <c r="S131" s="781"/>
      <c r="T131" s="776"/>
      <c r="U131" s="781"/>
      <c r="V131" s="781"/>
      <c r="W131" s="781"/>
      <c r="X131" s="781"/>
      <c r="Y131" s="781"/>
      <c r="Z131" s="781"/>
      <c r="AA131" s="781"/>
      <c r="AB131" s="781"/>
      <c r="AC131" s="781"/>
      <c r="AD131" s="781"/>
      <c r="AE131" s="781"/>
      <c r="AF131" s="781"/>
      <c r="AG131" s="933"/>
      <c r="AH131" s="933"/>
      <c r="AI131" s="933"/>
      <c r="AJ131" s="933"/>
      <c r="AK131" s="933"/>
      <c r="AL131" s="933"/>
      <c r="AM131" s="933"/>
      <c r="AN131" s="933"/>
      <c r="AO131" s="933"/>
    </row>
    <row r="132" spans="1:41" x14ac:dyDescent="0.2">
      <c r="A132" s="838" t="s">
        <v>371</v>
      </c>
      <c r="B132" s="839"/>
      <c r="C132" s="862">
        <v>0</v>
      </c>
      <c r="D132" s="862">
        <v>0</v>
      </c>
      <c r="E132" s="862">
        <v>0</v>
      </c>
      <c r="F132" s="862">
        <v>0</v>
      </c>
      <c r="G132" s="962">
        <f>SUM(C132:F132)</f>
        <v>0</v>
      </c>
      <c r="H132" s="840">
        <f t="shared" ref="H132:S132" si="157">$T132/12</f>
        <v>0</v>
      </c>
      <c r="I132" s="840">
        <f t="shared" si="157"/>
        <v>0</v>
      </c>
      <c r="J132" s="840">
        <f t="shared" si="157"/>
        <v>0</v>
      </c>
      <c r="K132" s="840">
        <f t="shared" si="157"/>
        <v>0</v>
      </c>
      <c r="L132" s="840">
        <f t="shared" si="157"/>
        <v>0</v>
      </c>
      <c r="M132" s="840">
        <f t="shared" si="157"/>
        <v>0</v>
      </c>
      <c r="N132" s="840">
        <f t="shared" si="157"/>
        <v>0</v>
      </c>
      <c r="O132" s="840">
        <f t="shared" si="157"/>
        <v>0</v>
      </c>
      <c r="P132" s="840">
        <f t="shared" si="157"/>
        <v>0</v>
      </c>
      <c r="Q132" s="840">
        <f t="shared" si="157"/>
        <v>0</v>
      </c>
      <c r="R132" s="840">
        <f t="shared" si="157"/>
        <v>0</v>
      </c>
      <c r="S132" s="840">
        <f t="shared" si="157"/>
        <v>0</v>
      </c>
      <c r="T132" s="841">
        <v>0</v>
      </c>
      <c r="U132" s="841">
        <v>0</v>
      </c>
      <c r="V132" s="841">
        <v>0</v>
      </c>
      <c r="W132" s="840">
        <f>100000/12</f>
        <v>8333.3333333333339</v>
      </c>
      <c r="X132" s="840">
        <f t="shared" ref="X132:AF132" si="158">100000/12</f>
        <v>8333.3333333333339</v>
      </c>
      <c r="Y132" s="840">
        <f t="shared" si="158"/>
        <v>8333.3333333333339</v>
      </c>
      <c r="Z132" s="840">
        <f t="shared" si="158"/>
        <v>8333.3333333333339</v>
      </c>
      <c r="AA132" s="840">
        <f t="shared" si="158"/>
        <v>8333.3333333333339</v>
      </c>
      <c r="AB132" s="840">
        <f t="shared" si="158"/>
        <v>8333.3333333333339</v>
      </c>
      <c r="AC132" s="840">
        <f t="shared" si="158"/>
        <v>8333.3333333333339</v>
      </c>
      <c r="AD132" s="840">
        <f t="shared" si="158"/>
        <v>8333.3333333333339</v>
      </c>
      <c r="AE132" s="840">
        <f t="shared" si="158"/>
        <v>8333.3333333333339</v>
      </c>
      <c r="AF132" s="840">
        <f t="shared" si="158"/>
        <v>8333.3333333333339</v>
      </c>
      <c r="AG132" s="953">
        <f>SUM(U132:AF132)</f>
        <v>83333.333333333328</v>
      </c>
      <c r="AH132" s="842">
        <v>100000</v>
      </c>
      <c r="AI132" s="842">
        <f t="shared" ref="AI132:AO132" si="159">AH132</f>
        <v>100000</v>
      </c>
      <c r="AJ132" s="842">
        <f t="shared" si="159"/>
        <v>100000</v>
      </c>
      <c r="AK132" s="842">
        <f t="shared" si="159"/>
        <v>100000</v>
      </c>
      <c r="AL132" s="842">
        <f t="shared" si="159"/>
        <v>100000</v>
      </c>
      <c r="AM132" s="842">
        <f t="shared" si="159"/>
        <v>100000</v>
      </c>
      <c r="AN132" s="842">
        <f t="shared" si="159"/>
        <v>100000</v>
      </c>
      <c r="AO132" s="842">
        <f t="shared" si="159"/>
        <v>100000</v>
      </c>
    </row>
    <row r="133" spans="1:41" x14ac:dyDescent="0.2">
      <c r="A133" s="779" t="s">
        <v>269</v>
      </c>
      <c r="B133" s="772"/>
      <c r="C133" s="781" t="str">
        <f>IF('P&amp;L'!C$3&gt;0,C132/'P&amp;L'!C$3,"n/m")</f>
        <v>n/m</v>
      </c>
      <c r="D133" s="781" t="str">
        <f>IF('P&amp;L'!D$3&gt;0,D132/'P&amp;L'!D$3,"n/m")</f>
        <v>n/m</v>
      </c>
      <c r="E133" s="781" t="str">
        <f>IF('P&amp;L'!E$3&gt;0,E132/'P&amp;L'!E$3,"n/m")</f>
        <v>n/m</v>
      </c>
      <c r="F133" s="781" t="str">
        <f>IF('P&amp;L'!F$3&gt;0,F132/'P&amp;L'!F$3,"n/m")</f>
        <v>n/m</v>
      </c>
      <c r="G133" s="933" t="str">
        <f>IF('P&amp;L'!G$3&gt;0,G132/'P&amp;L'!G$3,"n/m")</f>
        <v>n/m</v>
      </c>
      <c r="H133" s="781" t="str">
        <f>IF('P&amp;L'!H$3&gt;0,H132/'P&amp;L'!H$3,"n/m")</f>
        <v>n/m</v>
      </c>
      <c r="I133" s="781" t="str">
        <f>IF('P&amp;L'!I$3&gt;0,I132/'P&amp;L'!I$3,"n/m")</f>
        <v>n/m</v>
      </c>
      <c r="J133" s="781" t="str">
        <f>IF('P&amp;L'!J$3&gt;0,J132/'P&amp;L'!J$3,"n/m")</f>
        <v>n/m</v>
      </c>
      <c r="K133" s="781" t="str">
        <f>IF('P&amp;L'!K$3&gt;0,K132/'P&amp;L'!K$3,"n/m")</f>
        <v>n/m</v>
      </c>
      <c r="L133" s="781" t="str">
        <f>IF('P&amp;L'!L$3&gt;0,L132/'P&amp;L'!L$3,"n/m")</f>
        <v>n/m</v>
      </c>
      <c r="M133" s="781" t="str">
        <f>IF('P&amp;L'!M$3&gt;0,M132/'P&amp;L'!M$3,"n/m")</f>
        <v>n/m</v>
      </c>
      <c r="N133" s="781" t="str">
        <f>IF('P&amp;L'!N$3&gt;0,N132/'P&amp;L'!N$3,"n/m")</f>
        <v>n/m</v>
      </c>
      <c r="O133" s="781" t="str">
        <f>IF('P&amp;L'!O$3&gt;0,O132/'P&amp;L'!O$3,"n/m")</f>
        <v>n/m</v>
      </c>
      <c r="P133" s="781" t="str">
        <f>IF('P&amp;L'!P$3&gt;0,P132/'P&amp;L'!P$3,"n/m")</f>
        <v>n/m</v>
      </c>
      <c r="Q133" s="781" t="str">
        <f>IF('P&amp;L'!Q$3&gt;0,Q132/'P&amp;L'!Q$3,"n/m")</f>
        <v>n/m</v>
      </c>
      <c r="R133" s="781" t="str">
        <f>IF('P&amp;L'!R$3&gt;0,R132/'P&amp;L'!R$3,"n/m")</f>
        <v>n/m</v>
      </c>
      <c r="S133" s="781" t="str">
        <f>IF('P&amp;L'!S$3&gt;0,S132/'P&amp;L'!S$3,"n/m")</f>
        <v>n/m</v>
      </c>
      <c r="T133" s="933" t="str">
        <f>IF('P&amp;L'!T$3&gt;0,T132/'P&amp;L'!T$3,"n/m")</f>
        <v>n/m</v>
      </c>
      <c r="U133" s="781" t="str">
        <f>IF('P&amp;L'!U$3&gt;0,U132/'P&amp;L'!U$3,"n/m")</f>
        <v>n/m</v>
      </c>
      <c r="V133" s="781" t="str">
        <f>IF('P&amp;L'!V$3&gt;0,V132/'P&amp;L'!V$3,"n/m")</f>
        <v>n/m</v>
      </c>
      <c r="W133" s="781">
        <f>IF('P&amp;L'!W$3&gt;0,W132/'P&amp;L'!W$3,"n/m")</f>
        <v>1.4406627048442281E-2</v>
      </c>
      <c r="X133" s="781">
        <f>IF('P&amp;L'!X$3&gt;0,X132/'P&amp;L'!X$3,"n/m")</f>
        <v>1.1788977306218687E-2</v>
      </c>
      <c r="Y133" s="781">
        <f>IF('P&amp;L'!Y$3&gt;0,Y132/'P&amp;L'!Y$3,"n/m")</f>
        <v>1.0158730158730159E-2</v>
      </c>
      <c r="Z133" s="781">
        <f>IF('P&amp;L'!Z$3&gt;0,Z132/'P&amp;L'!Z$3,"n/m")</f>
        <v>9.0702947845804991E-3</v>
      </c>
      <c r="AA133" s="781">
        <f>IF('P&amp;L'!AA$3&gt;0,AA132/'P&amp;L'!AA$3,"n/m")</f>
        <v>8.1925243215565796E-3</v>
      </c>
      <c r="AB133" s="781">
        <f>IF('P&amp;L'!AB$3&gt;0,AB132/'P&amp;L'!AB$3,"n/m")</f>
        <v>7.4696545284780582E-3</v>
      </c>
      <c r="AC133" s="781">
        <f>IF('P&amp;L'!AC$3&gt;0,AC132/'P&amp;L'!AC$3,"n/m")</f>
        <v>6.8640068640068649E-3</v>
      </c>
      <c r="AD133" s="781">
        <f>IF('P&amp;L'!AD$3&gt;0,AD132/'P&amp;L'!AD$3,"n/m")</f>
        <v>6.3492063492063501E-3</v>
      </c>
      <c r="AE133" s="781">
        <f>IF('P&amp;L'!AE$3&gt;0,AE132/'P&amp;L'!AE$3,"n/m")</f>
        <v>5.9062384643779999E-3</v>
      </c>
      <c r="AF133" s="781">
        <f>IF('P&amp;L'!AF$3&gt;0,AF132/'P&amp;L'!AF$3,"n/m")</f>
        <v>5.521048999309869E-3</v>
      </c>
      <c r="AG133" s="933">
        <f>IF('P&amp;L'!AG$3&gt;0,AG132/'P&amp;L'!AG$3,"n/m")</f>
        <v>7.8586233656519223E-3</v>
      </c>
      <c r="AH133" s="933">
        <f>IF('P&amp;L'!AH$3&gt;0,AH132/'P&amp;L'!AH$3,"n/m")</f>
        <v>3.0927789217838147E-3</v>
      </c>
      <c r="AI133" s="933">
        <f>IF('P&amp;L'!AI$3&gt;0,AI132/'P&amp;L'!AI$3,"n/m")</f>
        <v>1.6198552674755733E-3</v>
      </c>
      <c r="AJ133" s="933">
        <f>IF('P&amp;L'!AJ$3&gt;0,AJ132/'P&amp;L'!AJ$3,"n/m")</f>
        <v>9.5619881577567727E-4</v>
      </c>
      <c r="AK133" s="933">
        <f>IF('P&amp;L'!AK$3&gt;0,AK132/'P&amp;L'!AK$3,"n/m")</f>
        <v>6.2217911744443021E-4</v>
      </c>
      <c r="AL133" s="933">
        <f>IF('P&amp;L'!AL$3&gt;0,AL132/'P&amp;L'!AL$3,"n/m")</f>
        <v>4.7470274726167693E-4</v>
      </c>
      <c r="AM133" s="933">
        <f>IF('P&amp;L'!AM$3&gt;0,AM132/'P&amp;L'!AM$3,"n/m")</f>
        <v>4.0389098504793537E-4</v>
      </c>
      <c r="AN133" s="933">
        <f>IF('P&amp;L'!AN$3&gt;0,AN132/'P&amp;L'!AN$3,"n/m")</f>
        <v>3.5395086287288069E-4</v>
      </c>
      <c r="AO133" s="933">
        <f>IF('P&amp;L'!AO$3&gt;0,AO132/'P&amp;L'!AO$3,"n/m")</f>
        <v>3.1519171803082678E-4</v>
      </c>
    </row>
    <row r="134" spans="1:41" x14ac:dyDescent="0.2">
      <c r="A134" s="779"/>
      <c r="B134" s="772"/>
      <c r="C134" s="772"/>
      <c r="D134" s="772"/>
      <c r="E134" s="772"/>
      <c r="F134" s="772"/>
      <c r="G134" s="960"/>
      <c r="H134" s="781"/>
      <c r="I134" s="781"/>
      <c r="J134" s="781"/>
      <c r="K134" s="781"/>
      <c r="L134" s="781"/>
      <c r="M134" s="781"/>
      <c r="N134" s="781"/>
      <c r="O134" s="781"/>
      <c r="P134" s="781"/>
      <c r="Q134" s="781"/>
      <c r="R134" s="781"/>
      <c r="S134" s="781"/>
      <c r="T134" s="776"/>
      <c r="U134" s="781"/>
      <c r="V134" s="781"/>
      <c r="W134" s="781"/>
      <c r="X134" s="781"/>
      <c r="Y134" s="781"/>
      <c r="Z134" s="781"/>
      <c r="AA134" s="781"/>
      <c r="AB134" s="781"/>
      <c r="AC134" s="781"/>
      <c r="AD134" s="781"/>
      <c r="AE134" s="781"/>
      <c r="AF134" s="781"/>
      <c r="AG134" s="933"/>
      <c r="AH134" s="933"/>
      <c r="AI134" s="933"/>
      <c r="AJ134" s="933"/>
      <c r="AK134" s="933"/>
      <c r="AL134" s="933"/>
      <c r="AM134" s="933"/>
      <c r="AN134" s="933"/>
      <c r="AO134" s="933"/>
    </row>
    <row r="135" spans="1:41" x14ac:dyDescent="0.2">
      <c r="A135" s="769" t="s">
        <v>344</v>
      </c>
      <c r="B135" s="772"/>
      <c r="C135" s="772"/>
      <c r="D135" s="772"/>
      <c r="E135" s="772"/>
      <c r="F135" s="772"/>
      <c r="G135" s="960"/>
      <c r="H135" s="781"/>
      <c r="I135" s="781"/>
      <c r="J135" s="781"/>
      <c r="K135" s="781"/>
      <c r="L135" s="781"/>
      <c r="M135" s="781"/>
      <c r="N135" s="781"/>
      <c r="O135" s="781"/>
      <c r="P135" s="781"/>
      <c r="Q135" s="781"/>
      <c r="R135" s="781"/>
      <c r="S135" s="781"/>
      <c r="T135" s="776"/>
      <c r="U135" s="781"/>
      <c r="V135" s="781"/>
      <c r="W135" s="781"/>
      <c r="X135" s="781"/>
      <c r="Y135" s="781"/>
      <c r="Z135" s="781"/>
      <c r="AA135" s="781"/>
      <c r="AB135" s="781"/>
      <c r="AC135" s="781"/>
      <c r="AD135" s="781"/>
      <c r="AE135" s="781"/>
      <c r="AF135" s="781"/>
      <c r="AG135" s="933"/>
      <c r="AH135" s="933"/>
      <c r="AI135" s="933"/>
      <c r="AJ135" s="933"/>
      <c r="AK135" s="933"/>
      <c r="AL135" s="933"/>
      <c r="AM135" s="933"/>
      <c r="AN135" s="933"/>
      <c r="AO135" s="933"/>
    </row>
    <row r="136" spans="1:41" x14ac:dyDescent="0.2">
      <c r="A136" s="36"/>
      <c r="B136" s="15"/>
      <c r="C136" s="15"/>
      <c r="D136" s="15"/>
      <c r="E136" s="15"/>
      <c r="F136" s="15"/>
      <c r="G136" s="87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7"/>
      <c r="AH136" s="17"/>
      <c r="AI136" s="17"/>
      <c r="AJ136" s="17"/>
      <c r="AK136" s="17"/>
      <c r="AL136" s="17"/>
      <c r="AM136" s="17"/>
      <c r="AN136" s="17"/>
      <c r="AO136" s="17"/>
    </row>
    <row r="137" spans="1:41" x14ac:dyDescent="0.2">
      <c r="A137" s="436" t="s">
        <v>277</v>
      </c>
      <c r="B137" s="1"/>
      <c r="C137" s="1"/>
      <c r="D137" s="1"/>
      <c r="E137" s="1"/>
      <c r="F137" s="1"/>
      <c r="G137" s="26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6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268"/>
      <c r="AH137" s="268"/>
      <c r="AI137" s="268"/>
      <c r="AJ137" s="268"/>
      <c r="AK137" s="268"/>
      <c r="AL137" s="268"/>
      <c r="AM137" s="268"/>
      <c r="AN137" s="268"/>
      <c r="AO137" s="268"/>
    </row>
    <row r="138" spans="1:41" x14ac:dyDescent="0.2">
      <c r="G138" s="31"/>
      <c r="H138" s="478"/>
      <c r="I138" s="478"/>
      <c r="J138" s="478"/>
      <c r="K138" s="478"/>
      <c r="L138" s="478"/>
      <c r="M138" s="478"/>
      <c r="N138" s="478"/>
      <c r="O138" s="478"/>
      <c r="P138" s="478"/>
      <c r="Q138" s="478"/>
      <c r="R138" s="478"/>
      <c r="S138" s="478"/>
      <c r="T138" s="959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31"/>
      <c r="AH138" s="948"/>
      <c r="AI138" s="268"/>
      <c r="AJ138" s="939"/>
      <c r="AK138" s="939"/>
      <c r="AL138" s="939"/>
      <c r="AM138" s="939"/>
      <c r="AN138" s="939"/>
      <c r="AO138" s="939"/>
    </row>
    <row r="139" spans="1:41" x14ac:dyDescent="0.2">
      <c r="A139" s="20" t="s">
        <v>278</v>
      </c>
      <c r="B139" s="1"/>
      <c r="C139" s="44">
        <f>Balance!C20</f>
        <v>0</v>
      </c>
      <c r="D139" s="44">
        <f>Balance!D20</f>
        <v>0</v>
      </c>
      <c r="E139" s="44">
        <f>Balance!E20</f>
        <v>0</v>
      </c>
      <c r="F139" s="44">
        <f>Balance!F20</f>
        <v>0</v>
      </c>
      <c r="G139" s="941">
        <f>SUM(C139:F139)</f>
        <v>0</v>
      </c>
      <c r="H139" s="44">
        <f>Balance!H20</f>
        <v>0</v>
      </c>
      <c r="I139" s="44">
        <f>Balance!I20</f>
        <v>0</v>
      </c>
      <c r="J139" s="44">
        <f>Balance!J20</f>
        <v>0</v>
      </c>
      <c r="K139" s="44">
        <f>Balance!K20</f>
        <v>0</v>
      </c>
      <c r="L139" s="44">
        <f>Balance!L20</f>
        <v>0</v>
      </c>
      <c r="M139" s="44">
        <f>Balance!M20</f>
        <v>0</v>
      </c>
      <c r="N139" s="44">
        <f>Balance!N20</f>
        <v>0</v>
      </c>
      <c r="O139" s="44">
        <f>Balance!O20</f>
        <v>0</v>
      </c>
      <c r="P139" s="44">
        <f>Balance!P20</f>
        <v>0</v>
      </c>
      <c r="Q139" s="44">
        <f>Balance!Q20</f>
        <v>0</v>
      </c>
      <c r="R139" s="44">
        <f>Balance!R20</f>
        <v>0</v>
      </c>
      <c r="S139" s="44">
        <f>Balance!S20</f>
        <v>0</v>
      </c>
      <c r="T139" s="941">
        <f>S139</f>
        <v>0</v>
      </c>
      <c r="U139" s="44">
        <f>Balance!U20</f>
        <v>0</v>
      </c>
      <c r="V139" s="44">
        <f>Balance!V20</f>
        <v>0</v>
      </c>
      <c r="W139" s="44">
        <f>Balance!W20</f>
        <v>0</v>
      </c>
      <c r="X139" s="44">
        <f>Balance!X20</f>
        <v>0</v>
      </c>
      <c r="Y139" s="44">
        <f>Balance!Y20</f>
        <v>0</v>
      </c>
      <c r="Z139" s="44">
        <f>Balance!Z20</f>
        <v>0</v>
      </c>
      <c r="AA139" s="44">
        <f>Balance!AA20</f>
        <v>0</v>
      </c>
      <c r="AB139" s="44">
        <f>Balance!AB20</f>
        <v>0</v>
      </c>
      <c r="AC139" s="44">
        <f>Balance!AC20</f>
        <v>0</v>
      </c>
      <c r="AD139" s="44">
        <f>Balance!AD20</f>
        <v>0</v>
      </c>
      <c r="AE139" s="44">
        <f>Balance!AE20</f>
        <v>0</v>
      </c>
      <c r="AF139" s="44">
        <f>Balance!AF20</f>
        <v>0</v>
      </c>
      <c r="AG139" s="941">
        <f>AF139</f>
        <v>0</v>
      </c>
      <c r="AH139" s="45">
        <f>Balance!AH20</f>
        <v>0</v>
      </c>
      <c r="AI139" s="45">
        <f>Balance!AI20</f>
        <v>0</v>
      </c>
      <c r="AJ139" s="45">
        <f>Balance!AJ20</f>
        <v>0</v>
      </c>
      <c r="AK139" s="45">
        <f>Balance!AK20</f>
        <v>0</v>
      </c>
      <c r="AL139" s="45">
        <f>Balance!AL20</f>
        <v>0</v>
      </c>
      <c r="AM139" s="45">
        <f>Balance!AM20</f>
        <v>0</v>
      </c>
      <c r="AN139" s="45">
        <f>Balance!AN20</f>
        <v>0</v>
      </c>
      <c r="AO139" s="45">
        <f>Balance!AO20</f>
        <v>0</v>
      </c>
    </row>
    <row r="140" spans="1:41" x14ac:dyDescent="0.2">
      <c r="A140" s="19" t="s">
        <v>204</v>
      </c>
      <c r="B140" s="472"/>
      <c r="C140" s="632">
        <v>3.5000000000000003E-2</v>
      </c>
      <c r="D140" s="632">
        <v>3.5000000000000003E-2</v>
      </c>
      <c r="E140" s="632">
        <v>3.5000000000000003E-2</v>
      </c>
      <c r="F140" s="632">
        <v>3.5000000000000003E-2</v>
      </c>
      <c r="G140" s="963">
        <f>F140</f>
        <v>3.5000000000000003E-2</v>
      </c>
      <c r="H140" s="632">
        <v>3.5000000000000003E-2</v>
      </c>
      <c r="I140" s="632">
        <v>3.5000000000000003E-2</v>
      </c>
      <c r="J140" s="632">
        <v>3.5000000000000003E-2</v>
      </c>
      <c r="K140" s="632">
        <v>3.5000000000000003E-2</v>
      </c>
      <c r="L140" s="632">
        <v>3.5000000000000003E-2</v>
      </c>
      <c r="M140" s="632">
        <v>3.5000000000000003E-2</v>
      </c>
      <c r="N140" s="632">
        <v>3.5000000000000003E-2</v>
      </c>
      <c r="O140" s="632">
        <f>N140</f>
        <v>3.5000000000000003E-2</v>
      </c>
      <c r="P140" s="632">
        <f>O140</f>
        <v>3.5000000000000003E-2</v>
      </c>
      <c r="Q140" s="632">
        <f>P140</f>
        <v>3.5000000000000003E-2</v>
      </c>
      <c r="R140" s="632">
        <f>Q140</f>
        <v>3.5000000000000003E-2</v>
      </c>
      <c r="S140" s="632">
        <f>R140</f>
        <v>3.5000000000000003E-2</v>
      </c>
      <c r="T140" s="634">
        <f>SUM(H140:S140)/12</f>
        <v>3.500000000000001E-2</v>
      </c>
      <c r="U140" s="632">
        <f>S140</f>
        <v>3.5000000000000003E-2</v>
      </c>
      <c r="V140" s="632">
        <f t="shared" ref="V140:AF140" si="160">U140</f>
        <v>3.5000000000000003E-2</v>
      </c>
      <c r="W140" s="632">
        <f t="shared" si="160"/>
        <v>3.5000000000000003E-2</v>
      </c>
      <c r="X140" s="632">
        <f t="shared" si="160"/>
        <v>3.5000000000000003E-2</v>
      </c>
      <c r="Y140" s="632">
        <f t="shared" si="160"/>
        <v>3.5000000000000003E-2</v>
      </c>
      <c r="Z140" s="632">
        <f t="shared" si="160"/>
        <v>3.5000000000000003E-2</v>
      </c>
      <c r="AA140" s="632">
        <f t="shared" si="160"/>
        <v>3.5000000000000003E-2</v>
      </c>
      <c r="AB140" s="632">
        <f t="shared" si="160"/>
        <v>3.5000000000000003E-2</v>
      </c>
      <c r="AC140" s="632">
        <f t="shared" si="160"/>
        <v>3.5000000000000003E-2</v>
      </c>
      <c r="AD140" s="632">
        <f t="shared" si="160"/>
        <v>3.5000000000000003E-2</v>
      </c>
      <c r="AE140" s="632">
        <f t="shared" si="160"/>
        <v>3.5000000000000003E-2</v>
      </c>
      <c r="AF140" s="632">
        <f t="shared" si="160"/>
        <v>3.5000000000000003E-2</v>
      </c>
      <c r="AG140" s="634">
        <f>SUM(U140:AF140)/12</f>
        <v>3.500000000000001E-2</v>
      </c>
      <c r="AH140" s="634">
        <f>AF140</f>
        <v>3.5000000000000003E-2</v>
      </c>
      <c r="AI140" s="634">
        <f t="shared" ref="AI140:AO140" si="161">AH140</f>
        <v>3.5000000000000003E-2</v>
      </c>
      <c r="AJ140" s="634">
        <f t="shared" si="161"/>
        <v>3.5000000000000003E-2</v>
      </c>
      <c r="AK140" s="634">
        <f t="shared" si="161"/>
        <v>3.5000000000000003E-2</v>
      </c>
      <c r="AL140" s="634">
        <f t="shared" si="161"/>
        <v>3.5000000000000003E-2</v>
      </c>
      <c r="AM140" s="634">
        <f t="shared" si="161"/>
        <v>3.5000000000000003E-2</v>
      </c>
      <c r="AN140" s="634">
        <f t="shared" si="161"/>
        <v>3.5000000000000003E-2</v>
      </c>
      <c r="AO140" s="634">
        <f t="shared" si="161"/>
        <v>3.5000000000000003E-2</v>
      </c>
    </row>
    <row r="141" spans="1:41" x14ac:dyDescent="0.2">
      <c r="A141" s="20" t="s">
        <v>277</v>
      </c>
      <c r="B141" s="1"/>
      <c r="C141" s="44">
        <f t="shared" ref="C141:F141" si="162">AVERAGE(B139,C139)*C140/12</f>
        <v>0</v>
      </c>
      <c r="D141" s="44">
        <f t="shared" si="162"/>
        <v>0</v>
      </c>
      <c r="E141" s="44">
        <f t="shared" si="162"/>
        <v>0</v>
      </c>
      <c r="F141" s="44">
        <f t="shared" si="162"/>
        <v>0</v>
      </c>
      <c r="G141" s="941">
        <f>SUM(C141:F141)</f>
        <v>0</v>
      </c>
      <c r="H141" s="44">
        <f t="shared" ref="H141:S141" si="163">AVERAGE(G139,H139)*H140/12</f>
        <v>0</v>
      </c>
      <c r="I141" s="44">
        <f t="shared" si="163"/>
        <v>0</v>
      </c>
      <c r="J141" s="44">
        <f t="shared" si="163"/>
        <v>0</v>
      </c>
      <c r="K141" s="44">
        <f t="shared" si="163"/>
        <v>0</v>
      </c>
      <c r="L141" s="44">
        <f t="shared" si="163"/>
        <v>0</v>
      </c>
      <c r="M141" s="44">
        <f t="shared" si="163"/>
        <v>0</v>
      </c>
      <c r="N141" s="44">
        <f t="shared" si="163"/>
        <v>0</v>
      </c>
      <c r="O141" s="44">
        <f t="shared" si="163"/>
        <v>0</v>
      </c>
      <c r="P141" s="44">
        <f t="shared" si="163"/>
        <v>0</v>
      </c>
      <c r="Q141" s="44">
        <f t="shared" si="163"/>
        <v>0</v>
      </c>
      <c r="R141" s="44">
        <f t="shared" si="163"/>
        <v>0</v>
      </c>
      <c r="S141" s="44">
        <f t="shared" si="163"/>
        <v>0</v>
      </c>
      <c r="T141" s="941">
        <f>SUM(H141:S141)</f>
        <v>0</v>
      </c>
      <c r="U141" s="44">
        <f>AVERAGE(S139,U139)*U140/12</f>
        <v>0</v>
      </c>
      <c r="V141" s="44">
        <f t="shared" ref="V141:AF141" si="164">AVERAGE(U139,V139)*V140/12</f>
        <v>0</v>
      </c>
      <c r="W141" s="44">
        <f t="shared" si="164"/>
        <v>0</v>
      </c>
      <c r="X141" s="44">
        <f t="shared" si="164"/>
        <v>0</v>
      </c>
      <c r="Y141" s="44">
        <f t="shared" si="164"/>
        <v>0</v>
      </c>
      <c r="Z141" s="44">
        <f t="shared" si="164"/>
        <v>0</v>
      </c>
      <c r="AA141" s="44">
        <f t="shared" si="164"/>
        <v>0</v>
      </c>
      <c r="AB141" s="44">
        <f t="shared" si="164"/>
        <v>0</v>
      </c>
      <c r="AC141" s="44">
        <f t="shared" si="164"/>
        <v>0</v>
      </c>
      <c r="AD141" s="44">
        <f t="shared" si="164"/>
        <v>0</v>
      </c>
      <c r="AE141" s="44">
        <f t="shared" si="164"/>
        <v>0</v>
      </c>
      <c r="AF141" s="44">
        <f t="shared" si="164"/>
        <v>0</v>
      </c>
      <c r="AG141" s="941">
        <f>SUM(U141:AF141)</f>
        <v>0</v>
      </c>
      <c r="AH141" s="45">
        <f>AVERAGE(AF139,AH139)*AH140/12</f>
        <v>0</v>
      </c>
      <c r="AI141" s="45">
        <f t="shared" ref="AI141:AO141" si="165">AVERAGE(AH139,AI139)*AI140/12</f>
        <v>0</v>
      </c>
      <c r="AJ141" s="45">
        <f t="shared" si="165"/>
        <v>0</v>
      </c>
      <c r="AK141" s="45">
        <f t="shared" si="165"/>
        <v>0</v>
      </c>
      <c r="AL141" s="45">
        <f t="shared" si="165"/>
        <v>0</v>
      </c>
      <c r="AM141" s="45">
        <f t="shared" si="165"/>
        <v>0</v>
      </c>
      <c r="AN141" s="45">
        <f t="shared" si="165"/>
        <v>0</v>
      </c>
      <c r="AO141" s="45">
        <f t="shared" si="165"/>
        <v>0</v>
      </c>
    </row>
    <row r="142" spans="1:41" x14ac:dyDescent="0.2">
      <c r="A142" s="1" t="s">
        <v>279</v>
      </c>
      <c r="B142" s="1"/>
      <c r="C142" s="44">
        <f>Balance!C23</f>
        <v>0</v>
      </c>
      <c r="D142" s="44">
        <f>Balance!D23</f>
        <v>0</v>
      </c>
      <c r="E142" s="44">
        <f>Balance!E23</f>
        <v>0</v>
      </c>
      <c r="F142" s="44">
        <f>Balance!F23</f>
        <v>0</v>
      </c>
      <c r="G142" s="941">
        <f>SUM(C142:F142)</f>
        <v>0</v>
      </c>
      <c r="H142" s="44">
        <f>Balance!H23</f>
        <v>0</v>
      </c>
      <c r="I142" s="44">
        <f>Balance!I23</f>
        <v>0</v>
      </c>
      <c r="J142" s="44">
        <f>Balance!J23</f>
        <v>0</v>
      </c>
      <c r="K142" s="44">
        <f>Balance!K23</f>
        <v>0</v>
      </c>
      <c r="L142" s="44">
        <f>Balance!L23</f>
        <v>0</v>
      </c>
      <c r="M142" s="44">
        <f>Balance!M23</f>
        <v>0</v>
      </c>
      <c r="N142" s="44">
        <f>Balance!N23</f>
        <v>0</v>
      </c>
      <c r="O142" s="44">
        <f>Balance!O23</f>
        <v>0</v>
      </c>
      <c r="P142" s="44">
        <f>Balance!P23</f>
        <v>0</v>
      </c>
      <c r="Q142" s="44">
        <f>Balance!Q23</f>
        <v>0</v>
      </c>
      <c r="R142" s="44">
        <f>Balance!R23</f>
        <v>0</v>
      </c>
      <c r="S142" s="44">
        <f>Balance!S23</f>
        <v>0</v>
      </c>
      <c r="T142" s="941">
        <f>S142</f>
        <v>0</v>
      </c>
      <c r="U142" s="44">
        <f>Balance!U23</f>
        <v>0</v>
      </c>
      <c r="V142" s="44">
        <f>Balance!V23</f>
        <v>0</v>
      </c>
      <c r="W142" s="44">
        <f>Balance!W23</f>
        <v>0</v>
      </c>
      <c r="X142" s="44">
        <f>Balance!X23</f>
        <v>0</v>
      </c>
      <c r="Y142" s="44">
        <f>Balance!Y23</f>
        <v>0</v>
      </c>
      <c r="Z142" s="44">
        <f>Balance!Z23</f>
        <v>0</v>
      </c>
      <c r="AA142" s="44">
        <f>Balance!AA23</f>
        <v>0</v>
      </c>
      <c r="AB142" s="44">
        <f>Balance!AB23</f>
        <v>0</v>
      </c>
      <c r="AC142" s="44">
        <f>Balance!AC23</f>
        <v>0</v>
      </c>
      <c r="AD142" s="44">
        <f>Balance!AD23</f>
        <v>0</v>
      </c>
      <c r="AE142" s="44">
        <f>Balance!AE23</f>
        <v>0</v>
      </c>
      <c r="AF142" s="44">
        <f>Balance!AF23</f>
        <v>0</v>
      </c>
      <c r="AG142" s="941">
        <f>AF142</f>
        <v>0</v>
      </c>
      <c r="AH142" s="45">
        <f>Balance!AH23</f>
        <v>0</v>
      </c>
      <c r="AI142" s="45">
        <f>Balance!AI23</f>
        <v>0</v>
      </c>
      <c r="AJ142" s="45">
        <f>Balance!AJ23</f>
        <v>0</v>
      </c>
      <c r="AK142" s="45">
        <f>Balance!AK23</f>
        <v>0</v>
      </c>
      <c r="AL142" s="45">
        <f>Balance!AL23</f>
        <v>0</v>
      </c>
      <c r="AM142" s="45">
        <f>Balance!AM23</f>
        <v>0</v>
      </c>
      <c r="AN142" s="45">
        <f>Balance!AN23</f>
        <v>0</v>
      </c>
      <c r="AO142" s="45">
        <f>Balance!AO23</f>
        <v>0</v>
      </c>
    </row>
    <row r="143" spans="1:41" x14ac:dyDescent="0.2">
      <c r="A143" s="19" t="s">
        <v>169</v>
      </c>
      <c r="B143" s="472"/>
      <c r="C143" s="632">
        <v>0.05</v>
      </c>
      <c r="D143" s="632">
        <v>0.05</v>
      </c>
      <c r="E143" s="632">
        <v>0.05</v>
      </c>
      <c r="F143" s="632">
        <v>0.05</v>
      </c>
      <c r="G143" s="963">
        <f>F143</f>
        <v>0.05</v>
      </c>
      <c r="H143" s="632">
        <v>0.05</v>
      </c>
      <c r="I143" s="632">
        <v>0.05</v>
      </c>
      <c r="J143" s="632">
        <v>0.05</v>
      </c>
      <c r="K143" s="632">
        <v>0.05</v>
      </c>
      <c r="L143" s="632">
        <v>0.05</v>
      </c>
      <c r="M143" s="632">
        <v>0.05</v>
      </c>
      <c r="N143" s="632">
        <v>0.05</v>
      </c>
      <c r="O143" s="632">
        <f>N143</f>
        <v>0.05</v>
      </c>
      <c r="P143" s="632">
        <f>O143</f>
        <v>0.05</v>
      </c>
      <c r="Q143" s="632">
        <f>P143</f>
        <v>0.05</v>
      </c>
      <c r="R143" s="632">
        <f>Q143</f>
        <v>0.05</v>
      </c>
      <c r="S143" s="632">
        <f>R143</f>
        <v>0.05</v>
      </c>
      <c r="T143" s="634">
        <f>SUM(H143:S143)/12</f>
        <v>4.9999999999999996E-2</v>
      </c>
      <c r="U143" s="632">
        <f>S143</f>
        <v>0.05</v>
      </c>
      <c r="V143" s="632">
        <f t="shared" ref="V143:AF143" si="166">U143</f>
        <v>0.05</v>
      </c>
      <c r="W143" s="632">
        <f t="shared" si="166"/>
        <v>0.05</v>
      </c>
      <c r="X143" s="632">
        <f t="shared" si="166"/>
        <v>0.05</v>
      </c>
      <c r="Y143" s="632">
        <f t="shared" si="166"/>
        <v>0.05</v>
      </c>
      <c r="Z143" s="632">
        <f t="shared" si="166"/>
        <v>0.05</v>
      </c>
      <c r="AA143" s="632">
        <f t="shared" si="166"/>
        <v>0.05</v>
      </c>
      <c r="AB143" s="632">
        <f t="shared" si="166"/>
        <v>0.05</v>
      </c>
      <c r="AC143" s="632">
        <f t="shared" si="166"/>
        <v>0.05</v>
      </c>
      <c r="AD143" s="632">
        <f t="shared" si="166"/>
        <v>0.05</v>
      </c>
      <c r="AE143" s="632">
        <f t="shared" si="166"/>
        <v>0.05</v>
      </c>
      <c r="AF143" s="632">
        <f t="shared" si="166"/>
        <v>0.05</v>
      </c>
      <c r="AG143" s="634">
        <f>SUM(U143:AF143)/12</f>
        <v>4.9999999999999996E-2</v>
      </c>
      <c r="AH143" s="634">
        <f>AF143</f>
        <v>0.05</v>
      </c>
      <c r="AI143" s="634">
        <f t="shared" ref="AI143:AO143" si="167">AH143</f>
        <v>0.05</v>
      </c>
      <c r="AJ143" s="634">
        <f t="shared" si="167"/>
        <v>0.05</v>
      </c>
      <c r="AK143" s="634">
        <f t="shared" si="167"/>
        <v>0.05</v>
      </c>
      <c r="AL143" s="634">
        <f t="shared" si="167"/>
        <v>0.05</v>
      </c>
      <c r="AM143" s="634">
        <f t="shared" si="167"/>
        <v>0.05</v>
      </c>
      <c r="AN143" s="634">
        <f t="shared" si="167"/>
        <v>0.05</v>
      </c>
      <c r="AO143" s="634">
        <f t="shared" si="167"/>
        <v>0.05</v>
      </c>
    </row>
    <row r="144" spans="1:41" x14ac:dyDescent="0.2">
      <c r="A144" s="20" t="s">
        <v>277</v>
      </c>
      <c r="B144" s="1"/>
      <c r="C144" s="44">
        <f t="shared" ref="C144:F144" si="168">AVERAGE(B142,C142)*C143/12</f>
        <v>0</v>
      </c>
      <c r="D144" s="44">
        <f t="shared" si="168"/>
        <v>0</v>
      </c>
      <c r="E144" s="44">
        <f t="shared" si="168"/>
        <v>0</v>
      </c>
      <c r="F144" s="44">
        <f t="shared" si="168"/>
        <v>0</v>
      </c>
      <c r="G144" s="941">
        <f>SUM(C144:F144)</f>
        <v>0</v>
      </c>
      <c r="H144" s="44">
        <f t="shared" ref="H144:S144" si="169">AVERAGE(G142,H142)*H143/12</f>
        <v>0</v>
      </c>
      <c r="I144" s="44">
        <f t="shared" si="169"/>
        <v>0</v>
      </c>
      <c r="J144" s="44">
        <f t="shared" si="169"/>
        <v>0</v>
      </c>
      <c r="K144" s="44">
        <f t="shared" si="169"/>
        <v>0</v>
      </c>
      <c r="L144" s="44">
        <f t="shared" si="169"/>
        <v>0</v>
      </c>
      <c r="M144" s="44">
        <f t="shared" si="169"/>
        <v>0</v>
      </c>
      <c r="N144" s="44">
        <f t="shared" si="169"/>
        <v>0</v>
      </c>
      <c r="O144" s="44">
        <f t="shared" si="169"/>
        <v>0</v>
      </c>
      <c r="P144" s="44">
        <f t="shared" si="169"/>
        <v>0</v>
      </c>
      <c r="Q144" s="44">
        <f t="shared" si="169"/>
        <v>0</v>
      </c>
      <c r="R144" s="44">
        <f t="shared" si="169"/>
        <v>0</v>
      </c>
      <c r="S144" s="44">
        <f t="shared" si="169"/>
        <v>0</v>
      </c>
      <c r="T144" s="941">
        <f>SUM(H144:S144)</f>
        <v>0</v>
      </c>
      <c r="U144" s="44">
        <f>AVERAGE(S142,U142)*U143/12</f>
        <v>0</v>
      </c>
      <c r="V144" s="44">
        <f>AVERAGE(U142,V142)*V143/12</f>
        <v>0</v>
      </c>
      <c r="W144" s="44">
        <f t="shared" ref="W144:AF144" si="170">AVERAGE(V142,W142)*W143/12</f>
        <v>0</v>
      </c>
      <c r="X144" s="44">
        <f t="shared" si="170"/>
        <v>0</v>
      </c>
      <c r="Y144" s="44">
        <f t="shared" si="170"/>
        <v>0</v>
      </c>
      <c r="Z144" s="44">
        <f t="shared" si="170"/>
        <v>0</v>
      </c>
      <c r="AA144" s="44">
        <f t="shared" si="170"/>
        <v>0</v>
      </c>
      <c r="AB144" s="44">
        <f t="shared" si="170"/>
        <v>0</v>
      </c>
      <c r="AC144" s="44">
        <f t="shared" si="170"/>
        <v>0</v>
      </c>
      <c r="AD144" s="44">
        <f t="shared" si="170"/>
        <v>0</v>
      </c>
      <c r="AE144" s="44">
        <f t="shared" si="170"/>
        <v>0</v>
      </c>
      <c r="AF144" s="44">
        <f t="shared" si="170"/>
        <v>0</v>
      </c>
      <c r="AG144" s="941">
        <f>SUM(U144:AF144)</f>
        <v>0</v>
      </c>
      <c r="AH144" s="45">
        <f>AVERAGE(AF142,AH142)*AH143/12</f>
        <v>0</v>
      </c>
      <c r="AI144" s="45">
        <f t="shared" ref="AI144:AO144" si="171">AVERAGE(AH142,AI142)*AI143/12</f>
        <v>0</v>
      </c>
      <c r="AJ144" s="45">
        <f t="shared" si="171"/>
        <v>0</v>
      </c>
      <c r="AK144" s="45">
        <f t="shared" si="171"/>
        <v>0</v>
      </c>
      <c r="AL144" s="45">
        <f t="shared" si="171"/>
        <v>0</v>
      </c>
      <c r="AM144" s="45">
        <f t="shared" si="171"/>
        <v>0</v>
      </c>
      <c r="AN144" s="45">
        <f t="shared" si="171"/>
        <v>0</v>
      </c>
      <c r="AO144" s="45">
        <f t="shared" si="171"/>
        <v>0</v>
      </c>
    </row>
    <row r="145" spans="1:41" x14ac:dyDescent="0.2">
      <c r="B145" s="1"/>
      <c r="C145" s="1"/>
      <c r="D145" s="1"/>
      <c r="E145" s="1"/>
      <c r="F145" s="1"/>
      <c r="G145" s="26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6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268"/>
      <c r="AH145" s="268"/>
      <c r="AI145" s="268"/>
      <c r="AJ145" s="268"/>
      <c r="AK145" s="268"/>
      <c r="AL145" s="268"/>
      <c r="AM145" s="268"/>
      <c r="AN145" s="268"/>
      <c r="AO145" s="268"/>
    </row>
    <row r="146" spans="1:41" x14ac:dyDescent="0.2">
      <c r="A146" s="735" t="s">
        <v>280</v>
      </c>
      <c r="B146" s="735"/>
      <c r="C146" s="736">
        <f t="shared" ref="C146:F146" si="172">C141+C144</f>
        <v>0</v>
      </c>
      <c r="D146" s="736">
        <f t="shared" si="172"/>
        <v>0</v>
      </c>
      <c r="E146" s="736">
        <f t="shared" si="172"/>
        <v>0</v>
      </c>
      <c r="F146" s="736">
        <f t="shared" si="172"/>
        <v>0</v>
      </c>
      <c r="G146" s="947">
        <f>SUM(C146:F146)</f>
        <v>0</v>
      </c>
      <c r="H146" s="736">
        <f t="shared" ref="H146:AO146" si="173">H141+H144</f>
        <v>0</v>
      </c>
      <c r="I146" s="736">
        <f t="shared" si="173"/>
        <v>0</v>
      </c>
      <c r="J146" s="736">
        <f t="shared" si="173"/>
        <v>0</v>
      </c>
      <c r="K146" s="736">
        <f t="shared" si="173"/>
        <v>0</v>
      </c>
      <c r="L146" s="736">
        <f t="shared" si="173"/>
        <v>0</v>
      </c>
      <c r="M146" s="736">
        <f t="shared" si="173"/>
        <v>0</v>
      </c>
      <c r="N146" s="736">
        <f t="shared" si="173"/>
        <v>0</v>
      </c>
      <c r="O146" s="736">
        <f t="shared" si="173"/>
        <v>0</v>
      </c>
      <c r="P146" s="736">
        <f t="shared" si="173"/>
        <v>0</v>
      </c>
      <c r="Q146" s="736">
        <f t="shared" si="173"/>
        <v>0</v>
      </c>
      <c r="R146" s="736">
        <f t="shared" si="173"/>
        <v>0</v>
      </c>
      <c r="S146" s="736">
        <f t="shared" si="173"/>
        <v>0</v>
      </c>
      <c r="T146" s="940">
        <f t="shared" si="173"/>
        <v>0</v>
      </c>
      <c r="U146" s="736">
        <f t="shared" si="173"/>
        <v>0</v>
      </c>
      <c r="V146" s="736">
        <f t="shared" si="173"/>
        <v>0</v>
      </c>
      <c r="W146" s="736">
        <f t="shared" si="173"/>
        <v>0</v>
      </c>
      <c r="X146" s="736">
        <f t="shared" si="173"/>
        <v>0</v>
      </c>
      <c r="Y146" s="736">
        <f t="shared" si="173"/>
        <v>0</v>
      </c>
      <c r="Z146" s="736">
        <f t="shared" si="173"/>
        <v>0</v>
      </c>
      <c r="AA146" s="736">
        <f t="shared" si="173"/>
        <v>0</v>
      </c>
      <c r="AB146" s="736">
        <f t="shared" si="173"/>
        <v>0</v>
      </c>
      <c r="AC146" s="736">
        <f t="shared" si="173"/>
        <v>0</v>
      </c>
      <c r="AD146" s="736">
        <f t="shared" si="173"/>
        <v>0</v>
      </c>
      <c r="AE146" s="736">
        <f t="shared" si="173"/>
        <v>0</v>
      </c>
      <c r="AF146" s="736">
        <f t="shared" si="173"/>
        <v>0</v>
      </c>
      <c r="AG146" s="947">
        <f t="shared" si="173"/>
        <v>0</v>
      </c>
      <c r="AH146" s="940">
        <f t="shared" si="173"/>
        <v>0</v>
      </c>
      <c r="AI146" s="940">
        <f t="shared" si="173"/>
        <v>0</v>
      </c>
      <c r="AJ146" s="940">
        <f t="shared" si="173"/>
        <v>0</v>
      </c>
      <c r="AK146" s="940">
        <f t="shared" si="173"/>
        <v>0</v>
      </c>
      <c r="AL146" s="940">
        <f t="shared" si="173"/>
        <v>0</v>
      </c>
      <c r="AM146" s="940">
        <f t="shared" si="173"/>
        <v>0</v>
      </c>
      <c r="AN146" s="940">
        <f t="shared" si="173"/>
        <v>0</v>
      </c>
      <c r="AO146" s="940">
        <f t="shared" si="173"/>
        <v>0</v>
      </c>
    </row>
    <row r="147" spans="1:41" x14ac:dyDescent="0.2">
      <c r="B147" s="1"/>
      <c r="C147" s="1"/>
      <c r="D147" s="1"/>
      <c r="E147" s="1"/>
      <c r="F147" s="1"/>
      <c r="G147" s="26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6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268"/>
      <c r="AH147" s="268"/>
      <c r="AI147" s="268"/>
      <c r="AJ147" s="268"/>
      <c r="AK147" s="268"/>
      <c r="AL147" s="268"/>
      <c r="AM147" s="268"/>
      <c r="AN147" s="268"/>
      <c r="AO147" s="268"/>
    </row>
    <row r="148" spans="1:41" x14ac:dyDescent="0.2">
      <c r="B148" s="1"/>
      <c r="C148" s="1"/>
      <c r="D148" s="1"/>
      <c r="E148" s="1"/>
      <c r="F148" s="1"/>
      <c r="G148" s="26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6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268"/>
      <c r="AH148" s="268"/>
      <c r="AI148" s="268"/>
      <c r="AJ148" s="268"/>
      <c r="AK148" s="268"/>
      <c r="AL148" s="268"/>
      <c r="AM148" s="268"/>
      <c r="AN148" s="268"/>
      <c r="AO148" s="268"/>
    </row>
    <row r="149" spans="1:41" x14ac:dyDescent="0.2">
      <c r="A149" s="436" t="s">
        <v>281</v>
      </c>
      <c r="B149" s="1"/>
      <c r="C149" s="1"/>
      <c r="D149" s="1"/>
      <c r="E149" s="1"/>
      <c r="F149" s="1"/>
      <c r="G149" s="26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6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268"/>
      <c r="AH149" s="268"/>
      <c r="AI149" s="268"/>
      <c r="AJ149" s="268"/>
      <c r="AK149" s="268"/>
      <c r="AL149" s="268"/>
      <c r="AM149" s="268"/>
      <c r="AN149" s="268"/>
      <c r="AO149" s="268"/>
    </row>
    <row r="150" spans="1:41" x14ac:dyDescent="0.2">
      <c r="A150" s="1"/>
      <c r="B150" s="1"/>
      <c r="C150" s="1"/>
      <c r="D150" s="1"/>
      <c r="E150" s="1"/>
      <c r="F150" s="1"/>
      <c r="G150" s="26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6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268"/>
      <c r="AH150" s="268"/>
      <c r="AI150" s="268"/>
      <c r="AJ150" s="268"/>
      <c r="AK150" s="268"/>
      <c r="AL150" s="268"/>
      <c r="AM150" s="268"/>
      <c r="AN150" s="268"/>
      <c r="AO150" s="268"/>
    </row>
    <row r="151" spans="1:41" x14ac:dyDescent="0.2">
      <c r="A151" s="1" t="s">
        <v>282</v>
      </c>
      <c r="B151" s="1"/>
      <c r="C151" s="44">
        <f>'P&amp;L'!C45-'P&amp;L'!C46</f>
        <v>-200</v>
      </c>
      <c r="D151" s="44">
        <f>'P&amp;L'!D45-'P&amp;L'!D46</f>
        <v>-52500</v>
      </c>
      <c r="E151" s="44">
        <f>'P&amp;L'!E45-'P&amp;L'!E46</f>
        <v>-200</v>
      </c>
      <c r="F151" s="44">
        <f>'P&amp;L'!F45-'P&amp;L'!F46</f>
        <v>-200</v>
      </c>
      <c r="G151" s="941">
        <f>SUM(C151:F151)</f>
        <v>-53100</v>
      </c>
      <c r="H151" s="44">
        <f>'P&amp;L'!H45-'P&amp;L'!H46</f>
        <v>-237427.41666666666</v>
      </c>
      <c r="I151" s="44">
        <f>'P&amp;L'!I45-'P&amp;L'!I46</f>
        <v>-200092.08333333334</v>
      </c>
      <c r="J151" s="44">
        <f>'P&amp;L'!J45-'P&amp;L'!J46</f>
        <v>-176092.08333333334</v>
      </c>
      <c r="K151" s="44">
        <f>'P&amp;L'!K45-'P&amp;L'!K46</f>
        <v>-32092.083333333336</v>
      </c>
      <c r="L151" s="44">
        <f>'P&amp;L'!L45-'P&amp;L'!L46</f>
        <v>-27092.083333333336</v>
      </c>
      <c r="M151" s="44">
        <f>'P&amp;L'!M45-'P&amp;L'!M46</f>
        <v>-27092.083333333336</v>
      </c>
      <c r="N151" s="44">
        <f>'P&amp;L'!N45-'P&amp;L'!N46</f>
        <v>-53519.166666666664</v>
      </c>
      <c r="O151" s="44">
        <f>'P&amp;L'!O45-'P&amp;L'!O46</f>
        <v>-53519.166666666664</v>
      </c>
      <c r="P151" s="44">
        <f>'P&amp;L'!P45-'P&amp;L'!P46</f>
        <v>-53519.166666666664</v>
      </c>
      <c r="Q151" s="44">
        <f>'P&amp;L'!Q45-'P&amp;L'!Q46</f>
        <v>-56221.166666666664</v>
      </c>
      <c r="R151" s="44">
        <f>'P&amp;L'!R45-'P&amp;L'!R46</f>
        <v>-60721.166666666664</v>
      </c>
      <c r="S151" s="44">
        <f>'P&amp;L'!S45-'P&amp;L'!S46</f>
        <v>-60721.166666666664</v>
      </c>
      <c r="T151" s="45">
        <f>'P&amp;L'!T45-'P&amp;L'!T46</f>
        <v>-1038108.8333333333</v>
      </c>
      <c r="U151" s="44">
        <f>'P&amp;L'!U45-'P&amp;L'!U46</f>
        <v>-246388.00000000003</v>
      </c>
      <c r="V151" s="44">
        <f>'P&amp;L'!V45-'P&amp;L'!V46</f>
        <v>-262888</v>
      </c>
      <c r="W151" s="44">
        <f>'P&amp;L'!W45-'P&amp;L'!W46</f>
        <v>243653.66666666683</v>
      </c>
      <c r="X151" s="44">
        <f>'P&amp;L'!X45-'P&amp;L'!X46</f>
        <v>338528.66666666674</v>
      </c>
      <c r="Y151" s="44">
        <f>'P&amp;L'!Y45-'P&amp;L'!Y46</f>
        <v>423570.33333333337</v>
      </c>
      <c r="Z151" s="44">
        <f>'P&amp;L'!Z45-'P&amp;L'!Z46</f>
        <v>515445.33333333337</v>
      </c>
      <c r="AA151" s="44">
        <f>'P&amp;L'!AA45-'P&amp;L'!AA46</f>
        <v>334999.5833333332</v>
      </c>
      <c r="AB151" s="44">
        <f>'P&amp;L'!AB45-'P&amp;L'!AB46</f>
        <v>691876.58333333337</v>
      </c>
      <c r="AC151" s="44">
        <f>'P&amp;L'!AC45-'P&amp;L'!AC46</f>
        <v>783751.58333333337</v>
      </c>
      <c r="AD151" s="44">
        <f>'P&amp;L'!AD45-'P&amp;L'!AD46</f>
        <v>875626.58333333337</v>
      </c>
      <c r="AE151" s="44">
        <f>'P&amp;L'!AE45-'P&amp;L'!AE46</f>
        <v>967501.58333333337</v>
      </c>
      <c r="AF151" s="44">
        <f>'P&amp;L'!AF45-'P&amp;L'!AF46</f>
        <v>1059376.5833333335</v>
      </c>
      <c r="AG151" s="45">
        <f>'P&amp;L'!AG45-'P&amp;L'!AG46</f>
        <v>5725054.5</v>
      </c>
      <c r="AH151" s="45">
        <f>'P&amp;L'!AH45-'P&amp;L'!AH46</f>
        <v>19328181.687499996</v>
      </c>
      <c r="AI151" s="45">
        <f>'P&amp;L'!AI45-'P&amp;L'!AI46</f>
        <v>38878343.297249995</v>
      </c>
      <c r="AJ151" s="45">
        <f>'P&amp;L'!AJ45-'P&amp;L'!AJ46</f>
        <v>67532617.457001209</v>
      </c>
      <c r="AK151" s="45">
        <f>'P&amp;L'!AK45-'P&amp;L'!AK46</f>
        <v>105336319.89618382</v>
      </c>
      <c r="AL151" s="45">
        <f>'P&amp;L'!AL45-'P&amp;L'!AL46</f>
        <v>138846789.516518</v>
      </c>
      <c r="AM151" s="45">
        <f>'P&amp;L'!AM45-'P&amp;L'!AM46</f>
        <v>163414455.68769026</v>
      </c>
      <c r="AN151" s="45">
        <f>'P&amp;L'!AN45-'P&amp;L'!AN46</f>
        <v>186544530.48987395</v>
      </c>
      <c r="AO151" s="45">
        <f>'P&amp;L'!AO45-'P&amp;L'!AO46</f>
        <v>209446096.98073551</v>
      </c>
    </row>
    <row r="152" spans="1:41" x14ac:dyDescent="0.2">
      <c r="A152" s="1"/>
      <c r="B152" s="1"/>
      <c r="C152" s="1"/>
      <c r="D152" s="1"/>
      <c r="E152" s="1"/>
      <c r="F152" s="1"/>
      <c r="G152" s="26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6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268"/>
      <c r="AH152" s="268"/>
      <c r="AI152" s="268"/>
      <c r="AJ152" s="268"/>
      <c r="AK152" s="268"/>
      <c r="AL152" s="268"/>
      <c r="AM152" s="268"/>
      <c r="AN152" s="268"/>
      <c r="AO152" s="268"/>
    </row>
    <row r="153" spans="1:41" x14ac:dyDescent="0.2">
      <c r="A153" s="1" t="s">
        <v>284</v>
      </c>
      <c r="B153" s="1"/>
      <c r="C153" s="44">
        <f t="shared" ref="C153:F153" si="174">B154</f>
        <v>0</v>
      </c>
      <c r="D153" s="44">
        <f t="shared" si="174"/>
        <v>200</v>
      </c>
      <c r="E153" s="44">
        <f t="shared" si="174"/>
        <v>52700</v>
      </c>
      <c r="F153" s="44">
        <f t="shared" si="174"/>
        <v>52900</v>
      </c>
      <c r="G153" s="941">
        <f>SUM(C153:F153)</f>
        <v>105800</v>
      </c>
      <c r="H153" s="44">
        <f t="shared" ref="H153:S153" si="175">G154</f>
        <v>158900</v>
      </c>
      <c r="I153" s="44">
        <f t="shared" si="175"/>
        <v>396327.41666666663</v>
      </c>
      <c r="J153" s="44">
        <f t="shared" si="175"/>
        <v>596419.5</v>
      </c>
      <c r="K153" s="44">
        <f t="shared" si="175"/>
        <v>772511.58333333337</v>
      </c>
      <c r="L153" s="44">
        <f t="shared" si="175"/>
        <v>804603.66666666674</v>
      </c>
      <c r="M153" s="44">
        <f t="shared" si="175"/>
        <v>831695.75000000012</v>
      </c>
      <c r="N153" s="44">
        <f t="shared" si="175"/>
        <v>858787.83333333349</v>
      </c>
      <c r="O153" s="44">
        <f t="shared" si="175"/>
        <v>912307.00000000012</v>
      </c>
      <c r="P153" s="44">
        <f t="shared" si="175"/>
        <v>965826.16666666674</v>
      </c>
      <c r="Q153" s="44">
        <f t="shared" si="175"/>
        <v>1019345.3333333334</v>
      </c>
      <c r="R153" s="44">
        <f t="shared" si="175"/>
        <v>1075566.5</v>
      </c>
      <c r="S153" s="44">
        <f t="shared" si="175"/>
        <v>1136287.6666666667</v>
      </c>
      <c r="T153" s="45">
        <f>B154</f>
        <v>0</v>
      </c>
      <c r="U153" s="255">
        <f>S154</f>
        <v>1197008.8333333335</v>
      </c>
      <c r="V153" s="255">
        <f>U154</f>
        <v>1443396.8333333335</v>
      </c>
      <c r="W153" s="255">
        <f t="shared" ref="W153:AF153" si="176">V154</f>
        <v>1706284.8333333335</v>
      </c>
      <c r="X153" s="255">
        <f t="shared" si="176"/>
        <v>1462631.1666666667</v>
      </c>
      <c r="Y153" s="255">
        <f t="shared" si="176"/>
        <v>1124102.5</v>
      </c>
      <c r="Z153" s="255">
        <f t="shared" si="176"/>
        <v>700532.16666666663</v>
      </c>
      <c r="AA153" s="255">
        <f t="shared" si="176"/>
        <v>185086.83333333326</v>
      </c>
      <c r="AB153" s="255">
        <f t="shared" si="176"/>
        <v>-149912.74999999994</v>
      </c>
      <c r="AC153" s="255">
        <f t="shared" si="176"/>
        <v>-841789.33333333326</v>
      </c>
      <c r="AD153" s="255">
        <f t="shared" si="176"/>
        <v>-1625540.9166666665</v>
      </c>
      <c r="AE153" s="255">
        <f t="shared" si="176"/>
        <v>-2501167.5</v>
      </c>
      <c r="AF153" s="255">
        <f t="shared" si="176"/>
        <v>-3468669.0833333335</v>
      </c>
      <c r="AG153" s="941">
        <f>U153</f>
        <v>1197008.8333333335</v>
      </c>
      <c r="AH153" s="941">
        <f>AF154</f>
        <v>-4528045.666666667</v>
      </c>
      <c r="AI153" s="941">
        <f>AH154</f>
        <v>-23856227.354166664</v>
      </c>
      <c r="AJ153" s="941">
        <f t="shared" ref="AJ153:AO153" si="177">AI154</f>
        <v>-62734570.651416659</v>
      </c>
      <c r="AK153" s="941">
        <f t="shared" si="177"/>
        <v>-130267188.10841787</v>
      </c>
      <c r="AL153" s="941">
        <f t="shared" si="177"/>
        <v>-235603508.00460169</v>
      </c>
      <c r="AM153" s="941">
        <f t="shared" si="177"/>
        <v>-374450297.52111971</v>
      </c>
      <c r="AN153" s="941">
        <f t="shared" si="177"/>
        <v>-537864753.20880997</v>
      </c>
      <c r="AO153" s="941">
        <f t="shared" si="177"/>
        <v>-724409283.69868398</v>
      </c>
    </row>
    <row r="154" spans="1:41" x14ac:dyDescent="0.2">
      <c r="A154" s="1" t="s">
        <v>283</v>
      </c>
      <c r="B154" s="44"/>
      <c r="C154" s="44">
        <f t="shared" ref="C154:F154" si="178">C153-C151</f>
        <v>200</v>
      </c>
      <c r="D154" s="44">
        <f t="shared" si="178"/>
        <v>52700</v>
      </c>
      <c r="E154" s="44">
        <f t="shared" si="178"/>
        <v>52900</v>
      </c>
      <c r="F154" s="44">
        <f t="shared" si="178"/>
        <v>53100</v>
      </c>
      <c r="G154" s="941">
        <f>SUM(C154:F154)</f>
        <v>158900</v>
      </c>
      <c r="H154" s="44">
        <f t="shared" ref="H154:S154" si="179">H153-H151</f>
        <v>396327.41666666663</v>
      </c>
      <c r="I154" s="44">
        <f t="shared" si="179"/>
        <v>596419.5</v>
      </c>
      <c r="J154" s="44">
        <f t="shared" si="179"/>
        <v>772511.58333333337</v>
      </c>
      <c r="K154" s="44">
        <f t="shared" si="179"/>
        <v>804603.66666666674</v>
      </c>
      <c r="L154" s="44">
        <f t="shared" si="179"/>
        <v>831695.75000000012</v>
      </c>
      <c r="M154" s="44">
        <f t="shared" si="179"/>
        <v>858787.83333333349</v>
      </c>
      <c r="N154" s="44">
        <f t="shared" si="179"/>
        <v>912307.00000000012</v>
      </c>
      <c r="O154" s="44">
        <f t="shared" si="179"/>
        <v>965826.16666666674</v>
      </c>
      <c r="P154" s="44">
        <f t="shared" si="179"/>
        <v>1019345.3333333334</v>
      </c>
      <c r="Q154" s="44">
        <f t="shared" si="179"/>
        <v>1075566.5</v>
      </c>
      <c r="R154" s="44">
        <f t="shared" si="179"/>
        <v>1136287.6666666667</v>
      </c>
      <c r="S154" s="44">
        <f t="shared" si="179"/>
        <v>1197008.8333333335</v>
      </c>
      <c r="T154" s="941">
        <f>S154</f>
        <v>1197008.8333333335</v>
      </c>
      <c r="U154" s="44">
        <f t="shared" ref="U154:AF154" si="180">U153-U151</f>
        <v>1443396.8333333335</v>
      </c>
      <c r="V154" s="44">
        <f t="shared" si="180"/>
        <v>1706284.8333333335</v>
      </c>
      <c r="W154" s="44">
        <f t="shared" si="180"/>
        <v>1462631.1666666667</v>
      </c>
      <c r="X154" s="44">
        <f t="shared" si="180"/>
        <v>1124102.5</v>
      </c>
      <c r="Y154" s="44">
        <f t="shared" si="180"/>
        <v>700532.16666666663</v>
      </c>
      <c r="Z154" s="44">
        <f t="shared" si="180"/>
        <v>185086.83333333326</v>
      </c>
      <c r="AA154" s="44">
        <f t="shared" si="180"/>
        <v>-149912.74999999994</v>
      </c>
      <c r="AB154" s="44">
        <f t="shared" si="180"/>
        <v>-841789.33333333326</v>
      </c>
      <c r="AC154" s="44">
        <f t="shared" si="180"/>
        <v>-1625540.9166666665</v>
      </c>
      <c r="AD154" s="44">
        <f t="shared" si="180"/>
        <v>-2501167.5</v>
      </c>
      <c r="AE154" s="44">
        <f t="shared" si="180"/>
        <v>-3468669.0833333335</v>
      </c>
      <c r="AF154" s="44">
        <f t="shared" si="180"/>
        <v>-4528045.666666667</v>
      </c>
      <c r="AG154" s="941">
        <f>AF154</f>
        <v>-4528045.666666667</v>
      </c>
      <c r="AH154" s="45">
        <f>AH153-AH151</f>
        <v>-23856227.354166664</v>
      </c>
      <c r="AI154" s="45">
        <f>AI153-AI151</f>
        <v>-62734570.651416659</v>
      </c>
      <c r="AJ154" s="45">
        <f t="shared" ref="AJ154:AO154" si="181">AJ153-AJ151</f>
        <v>-130267188.10841787</v>
      </c>
      <c r="AK154" s="45">
        <f t="shared" si="181"/>
        <v>-235603508.00460169</v>
      </c>
      <c r="AL154" s="45">
        <f t="shared" si="181"/>
        <v>-374450297.52111971</v>
      </c>
      <c r="AM154" s="45">
        <f t="shared" si="181"/>
        <v>-537864753.20880997</v>
      </c>
      <c r="AN154" s="45">
        <f t="shared" si="181"/>
        <v>-724409283.69868398</v>
      </c>
      <c r="AO154" s="45">
        <f t="shared" si="181"/>
        <v>-933855380.67941952</v>
      </c>
    </row>
    <row r="155" spans="1:41" x14ac:dyDescent="0.2">
      <c r="A155" s="1"/>
      <c r="B155" s="1"/>
      <c r="C155" s="1"/>
      <c r="D155" s="1"/>
      <c r="E155" s="1"/>
      <c r="F155" s="1"/>
      <c r="G155" s="268"/>
      <c r="H155" s="44"/>
      <c r="I155" s="1"/>
      <c r="J155" s="1" t="s">
        <v>177</v>
      </c>
      <c r="K155" s="1"/>
      <c r="L155" s="1"/>
      <c r="M155" s="1"/>
      <c r="N155" s="1"/>
      <c r="O155" s="1"/>
      <c r="P155" s="1"/>
      <c r="Q155" s="1"/>
      <c r="R155" s="1"/>
      <c r="S155" s="1"/>
      <c r="T155" s="26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268"/>
      <c r="AH155" s="268"/>
      <c r="AI155" s="268"/>
      <c r="AJ155" s="268"/>
      <c r="AK155" s="268"/>
      <c r="AL155" s="268"/>
      <c r="AM155" s="268"/>
      <c r="AN155" s="268"/>
      <c r="AO155" s="268"/>
    </row>
    <row r="156" spans="1:41" x14ac:dyDescent="0.2">
      <c r="A156" s="19" t="s">
        <v>87</v>
      </c>
      <c r="B156" s="632"/>
      <c r="C156" s="632">
        <v>0.35</v>
      </c>
      <c r="D156" s="632">
        <v>0.35</v>
      </c>
      <c r="E156" s="632">
        <v>0.35</v>
      </c>
      <c r="F156" s="632">
        <v>0.35</v>
      </c>
      <c r="G156" s="647">
        <v>0.35</v>
      </c>
      <c r="H156" s="863">
        <f>G156</f>
        <v>0.35</v>
      </c>
      <c r="I156" s="632">
        <v>0.35</v>
      </c>
      <c r="J156" s="632">
        <v>0.35</v>
      </c>
      <c r="K156" s="632">
        <v>0.35</v>
      </c>
      <c r="L156" s="632">
        <v>0.35</v>
      </c>
      <c r="M156" s="632">
        <v>0.35</v>
      </c>
      <c r="N156" s="632">
        <v>0.35</v>
      </c>
      <c r="O156" s="632">
        <f t="shared" ref="O156:T156" si="182">N156</f>
        <v>0.35</v>
      </c>
      <c r="P156" s="632">
        <f t="shared" si="182"/>
        <v>0.35</v>
      </c>
      <c r="Q156" s="632">
        <f t="shared" si="182"/>
        <v>0.35</v>
      </c>
      <c r="R156" s="632">
        <f t="shared" si="182"/>
        <v>0.35</v>
      </c>
      <c r="S156" s="632">
        <f t="shared" si="182"/>
        <v>0.35</v>
      </c>
      <c r="T156" s="647">
        <f t="shared" si="182"/>
        <v>0.35</v>
      </c>
      <c r="U156" s="632">
        <f>S156</f>
        <v>0.35</v>
      </c>
      <c r="V156" s="632">
        <f>U156</f>
        <v>0.35</v>
      </c>
      <c r="W156" s="632">
        <f t="shared" ref="W156:AF156" si="183">V156</f>
        <v>0.35</v>
      </c>
      <c r="X156" s="632">
        <f t="shared" si="183"/>
        <v>0.35</v>
      </c>
      <c r="Y156" s="632">
        <f t="shared" si="183"/>
        <v>0.35</v>
      </c>
      <c r="Z156" s="632">
        <f t="shared" si="183"/>
        <v>0.35</v>
      </c>
      <c r="AA156" s="632">
        <f t="shared" si="183"/>
        <v>0.35</v>
      </c>
      <c r="AB156" s="632">
        <f t="shared" si="183"/>
        <v>0.35</v>
      </c>
      <c r="AC156" s="632">
        <f t="shared" si="183"/>
        <v>0.35</v>
      </c>
      <c r="AD156" s="632">
        <f t="shared" si="183"/>
        <v>0.35</v>
      </c>
      <c r="AE156" s="632">
        <f t="shared" si="183"/>
        <v>0.35</v>
      </c>
      <c r="AF156" s="632">
        <f t="shared" si="183"/>
        <v>0.35</v>
      </c>
      <c r="AG156" s="634">
        <f>AF156</f>
        <v>0.35</v>
      </c>
      <c r="AH156" s="647">
        <f>AF156</f>
        <v>0.35</v>
      </c>
      <c r="AI156" s="647">
        <f t="shared" ref="AI156:AO156" si="184">AH156</f>
        <v>0.35</v>
      </c>
      <c r="AJ156" s="647">
        <f t="shared" si="184"/>
        <v>0.35</v>
      </c>
      <c r="AK156" s="647">
        <f t="shared" si="184"/>
        <v>0.35</v>
      </c>
      <c r="AL156" s="647">
        <f t="shared" si="184"/>
        <v>0.35</v>
      </c>
      <c r="AM156" s="647">
        <f t="shared" si="184"/>
        <v>0.35</v>
      </c>
      <c r="AN156" s="647">
        <f t="shared" si="184"/>
        <v>0.35</v>
      </c>
      <c r="AO156" s="647">
        <f t="shared" si="184"/>
        <v>0.35</v>
      </c>
    </row>
    <row r="157" spans="1:41" x14ac:dyDescent="0.2">
      <c r="A157" s="475"/>
      <c r="B157" s="477"/>
      <c r="C157" s="477"/>
      <c r="D157" s="477"/>
      <c r="E157" s="477"/>
      <c r="F157" s="477"/>
      <c r="G157" s="476"/>
      <c r="H157" s="477"/>
      <c r="I157" s="477"/>
      <c r="J157" s="477"/>
      <c r="K157" s="477"/>
      <c r="L157" s="477"/>
      <c r="M157" s="477"/>
      <c r="N157" s="477"/>
      <c r="O157" s="477"/>
      <c r="P157" s="477"/>
      <c r="Q157" s="477"/>
      <c r="R157" s="477"/>
      <c r="S157" s="477"/>
      <c r="T157" s="476"/>
      <c r="U157" s="477"/>
      <c r="V157" s="477"/>
      <c r="W157" s="477"/>
      <c r="X157" s="477"/>
      <c r="Y157" s="477"/>
      <c r="Z157" s="477"/>
      <c r="AA157" s="477"/>
      <c r="AB157" s="477"/>
      <c r="AC157" s="477"/>
      <c r="AD157" s="477"/>
      <c r="AE157" s="477"/>
      <c r="AF157" s="477"/>
      <c r="AG157" s="476"/>
      <c r="AH157" s="476"/>
      <c r="AI157" s="476"/>
      <c r="AJ157" s="476"/>
      <c r="AK157" s="476"/>
      <c r="AL157" s="476"/>
      <c r="AM157" s="476"/>
      <c r="AN157" s="476"/>
      <c r="AO157" s="476"/>
    </row>
    <row r="158" spans="1:41" x14ac:dyDescent="0.2">
      <c r="A158" s="735" t="s">
        <v>285</v>
      </c>
      <c r="B158" s="735"/>
      <c r="C158" s="736">
        <f t="shared" ref="C158:F158" si="185">IF(AND(C154&lt;0,C153&lt;0),C151*C156,IF(AND(C154&lt;0,C153&gt;0),-C154*C156,0))</f>
        <v>0</v>
      </c>
      <c r="D158" s="736">
        <f t="shared" si="185"/>
        <v>0</v>
      </c>
      <c r="E158" s="736">
        <f t="shared" si="185"/>
        <v>0</v>
      </c>
      <c r="F158" s="736">
        <f t="shared" si="185"/>
        <v>0</v>
      </c>
      <c r="G158" s="947">
        <f>SUM(C158:F158)</f>
        <v>0</v>
      </c>
      <c r="H158" s="736">
        <f t="shared" ref="H158:S158" si="186">IF(AND(H154&lt;0,H153&lt;0),H151*H156,IF(AND(H154&lt;0,H153&gt;0),-H154*H156,0))</f>
        <v>0</v>
      </c>
      <c r="I158" s="736">
        <f t="shared" si="186"/>
        <v>0</v>
      </c>
      <c r="J158" s="736">
        <f t="shared" si="186"/>
        <v>0</v>
      </c>
      <c r="K158" s="736">
        <f t="shared" si="186"/>
        <v>0</v>
      </c>
      <c r="L158" s="736">
        <f t="shared" si="186"/>
        <v>0</v>
      </c>
      <c r="M158" s="736">
        <f t="shared" si="186"/>
        <v>0</v>
      </c>
      <c r="N158" s="736">
        <f t="shared" si="186"/>
        <v>0</v>
      </c>
      <c r="O158" s="736">
        <f t="shared" si="186"/>
        <v>0</v>
      </c>
      <c r="P158" s="736">
        <f t="shared" si="186"/>
        <v>0</v>
      </c>
      <c r="Q158" s="736">
        <f t="shared" si="186"/>
        <v>0</v>
      </c>
      <c r="R158" s="736">
        <f t="shared" si="186"/>
        <v>0</v>
      </c>
      <c r="S158" s="736">
        <f t="shared" si="186"/>
        <v>0</v>
      </c>
      <c r="T158" s="940">
        <f>SUM(H158:S158)</f>
        <v>0</v>
      </c>
      <c r="U158" s="736">
        <f t="shared" ref="U158:AF158" si="187">IF(AND(U154&lt;0,U153&lt;0),U151*U156,IF(AND(U154&lt;0,U153&gt;0),-U154*U156,0))</f>
        <v>0</v>
      </c>
      <c r="V158" s="736">
        <f t="shared" si="187"/>
        <v>0</v>
      </c>
      <c r="W158" s="736">
        <f t="shared" si="187"/>
        <v>0</v>
      </c>
      <c r="X158" s="736">
        <f t="shared" si="187"/>
        <v>0</v>
      </c>
      <c r="Y158" s="736">
        <f t="shared" si="187"/>
        <v>0</v>
      </c>
      <c r="Z158" s="736">
        <f t="shared" si="187"/>
        <v>0</v>
      </c>
      <c r="AA158" s="736">
        <f t="shared" si="187"/>
        <v>52469.46249999998</v>
      </c>
      <c r="AB158" s="736">
        <f t="shared" si="187"/>
        <v>242156.80416666667</v>
      </c>
      <c r="AC158" s="736">
        <f t="shared" si="187"/>
        <v>274313.05416666664</v>
      </c>
      <c r="AD158" s="736">
        <f t="shared" si="187"/>
        <v>306469.30416666664</v>
      </c>
      <c r="AE158" s="736">
        <f t="shared" si="187"/>
        <v>338625.55416666664</v>
      </c>
      <c r="AF158" s="736">
        <f t="shared" si="187"/>
        <v>370781.8041666667</v>
      </c>
      <c r="AG158" s="947">
        <f>SUM(U158:AF158)</f>
        <v>1584815.9833333334</v>
      </c>
      <c r="AH158" s="940">
        <f t="shared" ref="AH158:AO158" si="188">IF(AND(AH154&lt;0,AH153&lt;0),AH151*AH156,IF(AND(AH154&lt;0,AH153&gt;0),-AH154*AH156,0))</f>
        <v>6764863.5906249983</v>
      </c>
      <c r="AI158" s="940">
        <f t="shared" si="188"/>
        <v>13607420.154037498</v>
      </c>
      <c r="AJ158" s="940">
        <f t="shared" si="188"/>
        <v>23636416.109950423</v>
      </c>
      <c r="AK158" s="940">
        <f t="shared" si="188"/>
        <v>36867711.963664331</v>
      </c>
      <c r="AL158" s="940">
        <f t="shared" si="188"/>
        <v>48596376.330781296</v>
      </c>
      <c r="AM158" s="940">
        <f t="shared" si="188"/>
        <v>57195059.490691587</v>
      </c>
      <c r="AN158" s="940">
        <f t="shared" si="188"/>
        <v>65290585.671455875</v>
      </c>
      <c r="AO158" s="940">
        <f t="shared" si="188"/>
        <v>73306133.943257421</v>
      </c>
    </row>
    <row r="159" spans="1:41" x14ac:dyDescent="0.2">
      <c r="A159" s="706" t="s">
        <v>286</v>
      </c>
      <c r="B159" s="706"/>
      <c r="C159" s="707">
        <f t="shared" ref="C159:AO159" si="189">C158/C151</f>
        <v>0</v>
      </c>
      <c r="D159" s="707">
        <f t="shared" si="189"/>
        <v>0</v>
      </c>
      <c r="E159" s="707">
        <f t="shared" si="189"/>
        <v>0</v>
      </c>
      <c r="F159" s="707">
        <f t="shared" si="189"/>
        <v>0</v>
      </c>
      <c r="G159" s="942">
        <f t="shared" si="189"/>
        <v>0</v>
      </c>
      <c r="H159" s="707">
        <f t="shared" si="189"/>
        <v>0</v>
      </c>
      <c r="I159" s="707">
        <f t="shared" si="189"/>
        <v>0</v>
      </c>
      <c r="J159" s="707">
        <f t="shared" si="189"/>
        <v>0</v>
      </c>
      <c r="K159" s="707">
        <f t="shared" si="189"/>
        <v>0</v>
      </c>
      <c r="L159" s="707">
        <f t="shared" si="189"/>
        <v>0</v>
      </c>
      <c r="M159" s="707">
        <f t="shared" si="189"/>
        <v>0</v>
      </c>
      <c r="N159" s="707">
        <f t="shared" si="189"/>
        <v>0</v>
      </c>
      <c r="O159" s="707">
        <f t="shared" si="189"/>
        <v>0</v>
      </c>
      <c r="P159" s="707">
        <f t="shared" si="189"/>
        <v>0</v>
      </c>
      <c r="Q159" s="707">
        <f t="shared" si="189"/>
        <v>0</v>
      </c>
      <c r="R159" s="707">
        <f t="shared" si="189"/>
        <v>0</v>
      </c>
      <c r="S159" s="707">
        <f t="shared" si="189"/>
        <v>0</v>
      </c>
      <c r="T159" s="942">
        <f t="shared" si="189"/>
        <v>0</v>
      </c>
      <c r="U159" s="707">
        <f t="shared" si="189"/>
        <v>0</v>
      </c>
      <c r="V159" s="707">
        <f t="shared" si="189"/>
        <v>0</v>
      </c>
      <c r="W159" s="707">
        <f t="shared" si="189"/>
        <v>0</v>
      </c>
      <c r="X159" s="707">
        <f t="shared" si="189"/>
        <v>0</v>
      </c>
      <c r="Y159" s="707">
        <f t="shared" si="189"/>
        <v>0</v>
      </c>
      <c r="Z159" s="707">
        <f t="shared" si="189"/>
        <v>0</v>
      </c>
      <c r="AA159" s="707">
        <f t="shared" si="189"/>
        <v>0.15662545600181094</v>
      </c>
      <c r="AB159" s="707">
        <f t="shared" si="189"/>
        <v>0.35</v>
      </c>
      <c r="AC159" s="707">
        <f t="shared" si="189"/>
        <v>0.34999999999999992</v>
      </c>
      <c r="AD159" s="707">
        <f t="shared" si="189"/>
        <v>0.35</v>
      </c>
      <c r="AE159" s="707">
        <f t="shared" si="189"/>
        <v>0.35</v>
      </c>
      <c r="AF159" s="707">
        <f t="shared" si="189"/>
        <v>0.35</v>
      </c>
      <c r="AG159" s="942">
        <f t="shared" si="189"/>
        <v>0.27682111730697645</v>
      </c>
      <c r="AH159" s="942">
        <f t="shared" si="189"/>
        <v>0.35</v>
      </c>
      <c r="AI159" s="942">
        <f t="shared" si="189"/>
        <v>0.35</v>
      </c>
      <c r="AJ159" s="942">
        <f t="shared" si="189"/>
        <v>0.35</v>
      </c>
      <c r="AK159" s="942">
        <f t="shared" si="189"/>
        <v>0.34999999999999992</v>
      </c>
      <c r="AL159" s="942">
        <f t="shared" si="189"/>
        <v>0.35</v>
      </c>
      <c r="AM159" s="942">
        <f t="shared" si="189"/>
        <v>0.35</v>
      </c>
      <c r="AN159" s="942">
        <f t="shared" si="189"/>
        <v>0.35</v>
      </c>
      <c r="AO159" s="942">
        <f t="shared" si="189"/>
        <v>0.35</v>
      </c>
    </row>
    <row r="160" spans="1:41" x14ac:dyDescent="0.2">
      <c r="A160" s="1"/>
      <c r="B160" s="1"/>
      <c r="C160" s="1"/>
      <c r="D160" s="1"/>
      <c r="E160" s="1"/>
      <c r="F160" s="1"/>
      <c r="G160" s="26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6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268"/>
      <c r="AH160" s="268"/>
      <c r="AI160" s="268"/>
      <c r="AJ160" s="268"/>
      <c r="AK160" s="268"/>
      <c r="AL160" s="268"/>
      <c r="AM160" s="268"/>
      <c r="AN160" s="268"/>
      <c r="AO160" s="268"/>
    </row>
    <row r="161" spans="1:41" x14ac:dyDescent="0.2">
      <c r="A161" s="436" t="s">
        <v>309</v>
      </c>
      <c r="B161" s="1"/>
      <c r="C161" s="1"/>
      <c r="D161" s="1"/>
      <c r="E161" s="1"/>
      <c r="F161" s="1"/>
      <c r="G161" s="26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6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268"/>
      <c r="AH161" s="268"/>
      <c r="AI161" s="268"/>
      <c r="AJ161" s="268"/>
      <c r="AK161" s="268"/>
      <c r="AL161" s="268"/>
      <c r="AM161" s="268"/>
      <c r="AN161" s="268"/>
      <c r="AO161" s="268"/>
    </row>
    <row r="162" spans="1:41" x14ac:dyDescent="0.2">
      <c r="A162" s="1" t="s">
        <v>311</v>
      </c>
      <c r="B162" s="1"/>
      <c r="C162" s="44">
        <f>'P&amp;L'!C49</f>
        <v>-200</v>
      </c>
      <c r="D162" s="44">
        <f>'P&amp;L'!D49</f>
        <v>-52500</v>
      </c>
      <c r="E162" s="44">
        <f>'P&amp;L'!E49</f>
        <v>-200</v>
      </c>
      <c r="F162" s="44">
        <f>'P&amp;L'!F49</f>
        <v>-200</v>
      </c>
      <c r="G162" s="941">
        <f>SUM(C162:F162)</f>
        <v>-53100</v>
      </c>
      <c r="H162" s="44">
        <f>'P&amp;L'!H49</f>
        <v>-237427.41666666666</v>
      </c>
      <c r="I162" s="44">
        <f>'P&amp;L'!I49</f>
        <v>-200092.08333333334</v>
      </c>
      <c r="J162" s="44">
        <f>'P&amp;L'!J49</f>
        <v>-176092.08333333334</v>
      </c>
      <c r="K162" s="44">
        <f>'P&amp;L'!K49</f>
        <v>-32092.083333333336</v>
      </c>
      <c r="L162" s="44">
        <f>'P&amp;L'!L49</f>
        <v>-27092.083333333336</v>
      </c>
      <c r="M162" s="44">
        <f>'P&amp;L'!M49</f>
        <v>-27092.083333333336</v>
      </c>
      <c r="N162" s="44">
        <f>'P&amp;L'!N49</f>
        <v>-53519.166666666664</v>
      </c>
      <c r="O162" s="44">
        <f>'P&amp;L'!O49</f>
        <v>-53519.166666666664</v>
      </c>
      <c r="P162" s="44">
        <f>'P&amp;L'!P49</f>
        <v>-53519.166666666664</v>
      </c>
      <c r="Q162" s="44">
        <f>'P&amp;L'!Q49</f>
        <v>-56221.166666666664</v>
      </c>
      <c r="R162" s="44">
        <f>'P&amp;L'!R49</f>
        <v>-60721.166666666664</v>
      </c>
      <c r="S162" s="44">
        <f>'P&amp;L'!S49</f>
        <v>-60721.166666666664</v>
      </c>
      <c r="T162" s="941">
        <f>SUM(H162:S162)</f>
        <v>-1038108.8333333333</v>
      </c>
      <c r="U162" s="44">
        <f>'P&amp;L'!U49</f>
        <v>-246388.00000000003</v>
      </c>
      <c r="V162" s="44">
        <f>'P&amp;L'!V49</f>
        <v>-262888</v>
      </c>
      <c r="W162" s="44">
        <f>'P&amp;L'!W49</f>
        <v>243653.66666666683</v>
      </c>
      <c r="X162" s="44">
        <f>'P&amp;L'!X49</f>
        <v>338528.66666666674</v>
      </c>
      <c r="Y162" s="44">
        <f>'P&amp;L'!Y49</f>
        <v>423570.33333333337</v>
      </c>
      <c r="Z162" s="44">
        <f>'P&amp;L'!Z49</f>
        <v>515445.33333333337</v>
      </c>
      <c r="AA162" s="44">
        <f>'P&amp;L'!AA49</f>
        <v>282530.12083333323</v>
      </c>
      <c r="AB162" s="44">
        <f>'P&amp;L'!AB49</f>
        <v>449719.77916666667</v>
      </c>
      <c r="AC162" s="44">
        <f>'P&amp;L'!AC49</f>
        <v>509438.52916666673</v>
      </c>
      <c r="AD162" s="44">
        <f>'P&amp;L'!AD49</f>
        <v>569157.27916666679</v>
      </c>
      <c r="AE162" s="44">
        <f>'P&amp;L'!AE49</f>
        <v>628876.02916666679</v>
      </c>
      <c r="AF162" s="44">
        <f>'P&amp;L'!AF49</f>
        <v>688594.77916666679</v>
      </c>
      <c r="AG162" s="268"/>
      <c r="AH162" s="45">
        <f>'P&amp;L'!AH49</f>
        <v>12563318.096874997</v>
      </c>
      <c r="AI162" s="45">
        <f>'P&amp;L'!AI49</f>
        <v>25270923.143212497</v>
      </c>
      <c r="AJ162" s="45">
        <f>'P&amp;L'!AJ49</f>
        <v>43896201.347050786</v>
      </c>
      <c r="AK162" s="45">
        <f>'P&amp;L'!AK49</f>
        <v>68468607.932519495</v>
      </c>
      <c r="AL162" s="45">
        <f>'P&amp;L'!AL49</f>
        <v>90250413.185736701</v>
      </c>
      <c r="AM162" s="45">
        <f>'P&amp;L'!AM49</f>
        <v>106219396.19699867</v>
      </c>
      <c r="AN162" s="45">
        <f>'P&amp;L'!AN49</f>
        <v>121253944.81841807</v>
      </c>
      <c r="AO162" s="45">
        <f>'P&amp;L'!AO49</f>
        <v>136139963.03747809</v>
      </c>
    </row>
    <row r="163" spans="1:41" x14ac:dyDescent="0.2">
      <c r="A163" s="34" t="s">
        <v>310</v>
      </c>
      <c r="B163" s="34"/>
      <c r="C163" s="792">
        <f>$G$163</f>
        <v>0</v>
      </c>
      <c r="D163" s="792">
        <f t="shared" ref="D163:F163" si="190">$G$163</f>
        <v>0</v>
      </c>
      <c r="E163" s="792">
        <f t="shared" si="190"/>
        <v>0</v>
      </c>
      <c r="F163" s="792">
        <f t="shared" si="190"/>
        <v>0</v>
      </c>
      <c r="G163" s="943">
        <v>0</v>
      </c>
      <c r="H163" s="792">
        <f t="shared" ref="H163:S163" si="191">$T$163</f>
        <v>0</v>
      </c>
      <c r="I163" s="792">
        <f t="shared" si="191"/>
        <v>0</v>
      </c>
      <c r="J163" s="792">
        <f t="shared" si="191"/>
        <v>0</v>
      </c>
      <c r="K163" s="792">
        <f t="shared" si="191"/>
        <v>0</v>
      </c>
      <c r="L163" s="792">
        <f t="shared" si="191"/>
        <v>0</v>
      </c>
      <c r="M163" s="792">
        <f t="shared" si="191"/>
        <v>0</v>
      </c>
      <c r="N163" s="792">
        <f t="shared" si="191"/>
        <v>0</v>
      </c>
      <c r="O163" s="792">
        <f t="shared" si="191"/>
        <v>0</v>
      </c>
      <c r="P163" s="792">
        <f t="shared" si="191"/>
        <v>0</v>
      </c>
      <c r="Q163" s="792">
        <f t="shared" si="191"/>
        <v>0</v>
      </c>
      <c r="R163" s="792">
        <f t="shared" si="191"/>
        <v>0</v>
      </c>
      <c r="S163" s="792">
        <f t="shared" si="191"/>
        <v>0</v>
      </c>
      <c r="T163" s="943">
        <v>0</v>
      </c>
      <c r="U163" s="793">
        <f>$AG$163</f>
        <v>0</v>
      </c>
      <c r="V163" s="793">
        <f t="shared" ref="V163:AF163" si="192">$AG$163</f>
        <v>0</v>
      </c>
      <c r="W163" s="793">
        <f t="shared" si="192"/>
        <v>0</v>
      </c>
      <c r="X163" s="793">
        <f t="shared" si="192"/>
        <v>0</v>
      </c>
      <c r="Y163" s="793">
        <f t="shared" si="192"/>
        <v>0</v>
      </c>
      <c r="Z163" s="793">
        <f t="shared" si="192"/>
        <v>0</v>
      </c>
      <c r="AA163" s="793">
        <f t="shared" si="192"/>
        <v>0</v>
      </c>
      <c r="AB163" s="793">
        <f t="shared" si="192"/>
        <v>0</v>
      </c>
      <c r="AC163" s="793">
        <f t="shared" si="192"/>
        <v>0</v>
      </c>
      <c r="AD163" s="793">
        <f t="shared" si="192"/>
        <v>0</v>
      </c>
      <c r="AE163" s="793">
        <f t="shared" si="192"/>
        <v>0</v>
      </c>
      <c r="AF163" s="793">
        <f t="shared" si="192"/>
        <v>0</v>
      </c>
      <c r="AG163" s="943">
        <v>0</v>
      </c>
      <c r="AH163" s="943">
        <v>0</v>
      </c>
      <c r="AI163" s="943">
        <f>AH163</f>
        <v>0</v>
      </c>
      <c r="AJ163" s="943">
        <f t="shared" ref="AJ163:AO163" si="193">AI163</f>
        <v>0</v>
      </c>
      <c r="AK163" s="943">
        <f t="shared" si="193"/>
        <v>0</v>
      </c>
      <c r="AL163" s="943">
        <f t="shared" si="193"/>
        <v>0</v>
      </c>
      <c r="AM163" s="943">
        <f t="shared" si="193"/>
        <v>0</v>
      </c>
      <c r="AN163" s="943">
        <f t="shared" si="193"/>
        <v>0</v>
      </c>
      <c r="AO163" s="943">
        <f t="shared" si="193"/>
        <v>0</v>
      </c>
    </row>
    <row r="164" spans="1:41" x14ac:dyDescent="0.2">
      <c r="A164" s="794" t="s">
        <v>312</v>
      </c>
      <c r="B164" s="794"/>
      <c r="C164" s="736">
        <f t="shared" ref="C164:F164" si="194">IF(C162&gt;0,C162*C163,0)</f>
        <v>0</v>
      </c>
      <c r="D164" s="736">
        <f t="shared" si="194"/>
        <v>0</v>
      </c>
      <c r="E164" s="736">
        <f t="shared" si="194"/>
        <v>0</v>
      </c>
      <c r="F164" s="736">
        <f t="shared" si="194"/>
        <v>0</v>
      </c>
      <c r="G164" s="954">
        <f>SUM(C164:F164)</f>
        <v>0</v>
      </c>
      <c r="H164" s="736">
        <f t="shared" ref="H164:S164" si="195">IF(H162&gt;0,H162*H163,0)</f>
        <v>0</v>
      </c>
      <c r="I164" s="736">
        <f t="shared" si="195"/>
        <v>0</v>
      </c>
      <c r="J164" s="736">
        <f t="shared" si="195"/>
        <v>0</v>
      </c>
      <c r="K164" s="736">
        <f t="shared" si="195"/>
        <v>0</v>
      </c>
      <c r="L164" s="736">
        <f t="shared" si="195"/>
        <v>0</v>
      </c>
      <c r="M164" s="736">
        <f t="shared" si="195"/>
        <v>0</v>
      </c>
      <c r="N164" s="736">
        <f t="shared" si="195"/>
        <v>0</v>
      </c>
      <c r="O164" s="736">
        <f t="shared" si="195"/>
        <v>0</v>
      </c>
      <c r="P164" s="736">
        <f t="shared" si="195"/>
        <v>0</v>
      </c>
      <c r="Q164" s="736">
        <f t="shared" si="195"/>
        <v>0</v>
      </c>
      <c r="R164" s="736">
        <f t="shared" si="195"/>
        <v>0</v>
      </c>
      <c r="S164" s="736">
        <f t="shared" si="195"/>
        <v>0</v>
      </c>
      <c r="T164" s="954">
        <f>SUM(H164:S164)</f>
        <v>0</v>
      </c>
      <c r="U164" s="736">
        <f t="shared" ref="U164:AF164" si="196">IF(U162&gt;0,U162*U163,0)</f>
        <v>0</v>
      </c>
      <c r="V164" s="736">
        <f t="shared" si="196"/>
        <v>0</v>
      </c>
      <c r="W164" s="736">
        <f t="shared" si="196"/>
        <v>0</v>
      </c>
      <c r="X164" s="736">
        <f t="shared" si="196"/>
        <v>0</v>
      </c>
      <c r="Y164" s="736">
        <f t="shared" si="196"/>
        <v>0</v>
      </c>
      <c r="Z164" s="736">
        <f t="shared" si="196"/>
        <v>0</v>
      </c>
      <c r="AA164" s="736">
        <f t="shared" si="196"/>
        <v>0</v>
      </c>
      <c r="AB164" s="736">
        <f t="shared" si="196"/>
        <v>0</v>
      </c>
      <c r="AC164" s="736">
        <f t="shared" si="196"/>
        <v>0</v>
      </c>
      <c r="AD164" s="736">
        <f t="shared" si="196"/>
        <v>0</v>
      </c>
      <c r="AE164" s="736">
        <f t="shared" si="196"/>
        <v>0</v>
      </c>
      <c r="AF164" s="736">
        <f t="shared" si="196"/>
        <v>0</v>
      </c>
      <c r="AG164" s="954">
        <f>SUM(U164:AF164)</f>
        <v>0</v>
      </c>
      <c r="AH164" s="940">
        <f t="shared" ref="AH164:AO164" si="197">IF(AH162&gt;0,AH162*AH163,0)</f>
        <v>0</v>
      </c>
      <c r="AI164" s="940">
        <f t="shared" si="197"/>
        <v>0</v>
      </c>
      <c r="AJ164" s="940">
        <f t="shared" si="197"/>
        <v>0</v>
      </c>
      <c r="AK164" s="940">
        <f t="shared" si="197"/>
        <v>0</v>
      </c>
      <c r="AL164" s="940">
        <f t="shared" si="197"/>
        <v>0</v>
      </c>
      <c r="AM164" s="940">
        <f t="shared" si="197"/>
        <v>0</v>
      </c>
      <c r="AN164" s="940">
        <f t="shared" si="197"/>
        <v>0</v>
      </c>
      <c r="AO164" s="940">
        <f t="shared" si="197"/>
        <v>0</v>
      </c>
    </row>
    <row r="165" spans="1:41" x14ac:dyDescent="0.2">
      <c r="A165" s="34"/>
      <c r="B165" s="34"/>
      <c r="C165" s="34"/>
      <c r="D165" s="34"/>
      <c r="E165" s="34"/>
      <c r="F165" s="34"/>
      <c r="G165" s="879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879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879"/>
      <c r="AH165" s="879"/>
      <c r="AI165" s="879"/>
      <c r="AJ165" s="879"/>
      <c r="AK165" s="879"/>
      <c r="AL165" s="879"/>
      <c r="AM165" s="879"/>
      <c r="AN165" s="879"/>
      <c r="AO165" s="879"/>
    </row>
    <row r="166" spans="1:41" x14ac:dyDescent="0.2">
      <c r="A166" s="34" t="s">
        <v>347</v>
      </c>
      <c r="B166" s="34"/>
      <c r="C166" s="815">
        <v>0</v>
      </c>
      <c r="D166" s="815">
        <v>0</v>
      </c>
      <c r="E166" s="815">
        <v>0</v>
      </c>
      <c r="F166" s="815">
        <v>0</v>
      </c>
      <c r="G166" s="944">
        <f>F166</f>
        <v>0</v>
      </c>
      <c r="H166" s="815">
        <v>0</v>
      </c>
      <c r="I166" s="815">
        <v>0</v>
      </c>
      <c r="J166" s="815">
        <v>0</v>
      </c>
      <c r="K166" s="815">
        <v>0</v>
      </c>
      <c r="L166" s="815">
        <v>0</v>
      </c>
      <c r="M166" s="815">
        <v>0</v>
      </c>
      <c r="N166" s="815">
        <v>0</v>
      </c>
      <c r="O166" s="815">
        <v>0</v>
      </c>
      <c r="P166" s="815">
        <v>0</v>
      </c>
      <c r="Q166" s="815">
        <v>0</v>
      </c>
      <c r="R166" s="815">
        <v>0</v>
      </c>
      <c r="S166" s="815">
        <v>0</v>
      </c>
      <c r="T166" s="955">
        <v>0</v>
      </c>
      <c r="U166" s="815">
        <v>0</v>
      </c>
      <c r="V166" s="815">
        <v>0</v>
      </c>
      <c r="W166" s="815">
        <v>0</v>
      </c>
      <c r="X166" s="815">
        <v>0</v>
      </c>
      <c r="Y166" s="815">
        <v>0</v>
      </c>
      <c r="Z166" s="815">
        <v>0</v>
      </c>
      <c r="AA166" s="815">
        <v>0</v>
      </c>
      <c r="AB166" s="815">
        <v>0</v>
      </c>
      <c r="AC166" s="815">
        <v>0</v>
      </c>
      <c r="AD166" s="815">
        <v>0</v>
      </c>
      <c r="AE166" s="815">
        <v>0</v>
      </c>
      <c r="AF166" s="815">
        <v>0</v>
      </c>
      <c r="AG166" s="955">
        <v>0.125</v>
      </c>
      <c r="AH166" s="944">
        <f>AG166</f>
        <v>0.125</v>
      </c>
      <c r="AI166" s="944">
        <f t="shared" ref="AI166:AO166" si="198">AH166</f>
        <v>0.125</v>
      </c>
      <c r="AJ166" s="944">
        <f t="shared" si="198"/>
        <v>0.125</v>
      </c>
      <c r="AK166" s="944">
        <f t="shared" si="198"/>
        <v>0.125</v>
      </c>
      <c r="AL166" s="944">
        <f t="shared" si="198"/>
        <v>0.125</v>
      </c>
      <c r="AM166" s="944">
        <f t="shared" si="198"/>
        <v>0.125</v>
      </c>
      <c r="AN166" s="944">
        <f t="shared" si="198"/>
        <v>0.125</v>
      </c>
      <c r="AO166" s="944">
        <f t="shared" si="198"/>
        <v>0.125</v>
      </c>
    </row>
    <row r="167" spans="1:41" x14ac:dyDescent="0.2">
      <c r="A167" s="34" t="s">
        <v>348</v>
      </c>
      <c r="B167" s="34"/>
      <c r="C167" s="259">
        <f>C164*C166</f>
        <v>0</v>
      </c>
      <c r="D167" s="259">
        <f t="shared" ref="D167:F167" si="199">D164*D166</f>
        <v>0</v>
      </c>
      <c r="E167" s="259">
        <f t="shared" si="199"/>
        <v>0</v>
      </c>
      <c r="F167" s="259">
        <f t="shared" si="199"/>
        <v>0</v>
      </c>
      <c r="G167" s="280">
        <f>SUM(C167:F167)</f>
        <v>0</v>
      </c>
      <c r="H167" s="259">
        <f>H164*H166</f>
        <v>0</v>
      </c>
      <c r="I167" s="259">
        <f t="shared" ref="I167:AF167" si="200">I164*I166</f>
        <v>0</v>
      </c>
      <c r="J167" s="259">
        <f t="shared" si="200"/>
        <v>0</v>
      </c>
      <c r="K167" s="259">
        <f t="shared" si="200"/>
        <v>0</v>
      </c>
      <c r="L167" s="259">
        <f t="shared" si="200"/>
        <v>0</v>
      </c>
      <c r="M167" s="259">
        <f t="shared" si="200"/>
        <v>0</v>
      </c>
      <c r="N167" s="259">
        <f t="shared" si="200"/>
        <v>0</v>
      </c>
      <c r="O167" s="259">
        <f t="shared" si="200"/>
        <v>0</v>
      </c>
      <c r="P167" s="259">
        <f t="shared" si="200"/>
        <v>0</v>
      </c>
      <c r="Q167" s="259">
        <f t="shared" si="200"/>
        <v>0</v>
      </c>
      <c r="R167" s="259">
        <f t="shared" si="200"/>
        <v>0</v>
      </c>
      <c r="S167" s="259">
        <f t="shared" si="200"/>
        <v>0</v>
      </c>
      <c r="T167" s="280">
        <f>SUM(H167:S167)</f>
        <v>0</v>
      </c>
      <c r="U167" s="259">
        <f t="shared" si="200"/>
        <v>0</v>
      </c>
      <c r="V167" s="259">
        <f t="shared" si="200"/>
        <v>0</v>
      </c>
      <c r="W167" s="259">
        <f t="shared" si="200"/>
        <v>0</v>
      </c>
      <c r="X167" s="259">
        <f t="shared" si="200"/>
        <v>0</v>
      </c>
      <c r="Y167" s="259">
        <f t="shared" si="200"/>
        <v>0</v>
      </c>
      <c r="Z167" s="259">
        <f t="shared" si="200"/>
        <v>0</v>
      </c>
      <c r="AA167" s="259">
        <f t="shared" si="200"/>
        <v>0</v>
      </c>
      <c r="AB167" s="259">
        <f t="shared" si="200"/>
        <v>0</v>
      </c>
      <c r="AC167" s="259">
        <f t="shared" si="200"/>
        <v>0</v>
      </c>
      <c r="AD167" s="259">
        <f t="shared" si="200"/>
        <v>0</v>
      </c>
      <c r="AE167" s="259">
        <f t="shared" si="200"/>
        <v>0</v>
      </c>
      <c r="AF167" s="259">
        <f t="shared" si="200"/>
        <v>0</v>
      </c>
      <c r="AG167" s="280">
        <f>AG164*AG166</f>
        <v>0</v>
      </c>
      <c r="AH167" s="280">
        <f t="shared" ref="AH167:AO167" si="201">AH164*AH166</f>
        <v>0</v>
      </c>
      <c r="AI167" s="280">
        <f t="shared" si="201"/>
        <v>0</v>
      </c>
      <c r="AJ167" s="280">
        <f t="shared" si="201"/>
        <v>0</v>
      </c>
      <c r="AK167" s="280">
        <f t="shared" si="201"/>
        <v>0</v>
      </c>
      <c r="AL167" s="280">
        <f t="shared" si="201"/>
        <v>0</v>
      </c>
      <c r="AM167" s="280">
        <f t="shared" si="201"/>
        <v>0</v>
      </c>
      <c r="AN167" s="280">
        <f t="shared" si="201"/>
        <v>0</v>
      </c>
      <c r="AO167" s="280">
        <f t="shared" si="201"/>
        <v>0</v>
      </c>
    </row>
    <row r="168" spans="1:41" x14ac:dyDescent="0.2">
      <c r="A168" s="34" t="s">
        <v>349</v>
      </c>
      <c r="B168" s="34"/>
      <c r="C168" s="795">
        <f>'Sales and COGS Forecasts'!C11+'Sales and COGS Forecasts'!C17+'Sales and COGS Forecasts'!C38</f>
        <v>0</v>
      </c>
      <c r="D168" s="795">
        <f>'Sales and COGS Forecasts'!D11+'Sales and COGS Forecasts'!D17+'Sales and COGS Forecasts'!D38</f>
        <v>0</v>
      </c>
      <c r="E168" s="795">
        <f>'Sales and COGS Forecasts'!E11+'Sales and COGS Forecasts'!E17+'Sales and COGS Forecasts'!E38</f>
        <v>0</v>
      </c>
      <c r="F168" s="795">
        <f>'Sales and COGS Forecasts'!F11+'Sales and COGS Forecasts'!F17+'Sales and COGS Forecasts'!F38</f>
        <v>0</v>
      </c>
      <c r="G168" s="945">
        <f>'Sales and COGS Forecasts'!G11+'Sales and COGS Forecasts'!G17+'Sales and COGS Forecasts'!G38</f>
        <v>0</v>
      </c>
      <c r="H168" s="795">
        <f>'Sales and COGS Forecasts'!H11+'Sales and COGS Forecasts'!H17+'Sales and COGS Forecasts'!H38</f>
        <v>2</v>
      </c>
      <c r="I168" s="795">
        <f>'Sales and COGS Forecasts'!I11+'Sales and COGS Forecasts'!I17+'Sales and COGS Forecasts'!I38</f>
        <v>2</v>
      </c>
      <c r="J168" s="795">
        <f>'Sales and COGS Forecasts'!J11+'Sales and COGS Forecasts'!J17+'Sales and COGS Forecasts'!J38</f>
        <v>2</v>
      </c>
      <c r="K168" s="795">
        <f>'Sales and COGS Forecasts'!K11+'Sales and COGS Forecasts'!K17+'Sales and COGS Forecasts'!K38</f>
        <v>2</v>
      </c>
      <c r="L168" s="795">
        <f>'Sales and COGS Forecasts'!L11+'Sales and COGS Forecasts'!L17+'Sales and COGS Forecasts'!L38</f>
        <v>2</v>
      </c>
      <c r="M168" s="795">
        <f>'Sales and COGS Forecasts'!M11+'Sales and COGS Forecasts'!M17+'Sales and COGS Forecasts'!M38</f>
        <v>2</v>
      </c>
      <c r="N168" s="795">
        <f>'Sales and COGS Forecasts'!N11+'Sales and COGS Forecasts'!N17+'Sales and COGS Forecasts'!N38</f>
        <v>10</v>
      </c>
      <c r="O168" s="795">
        <f>'Sales and COGS Forecasts'!O11+'Sales and COGS Forecasts'!O17+'Sales and COGS Forecasts'!O38</f>
        <v>14</v>
      </c>
      <c r="P168" s="795">
        <f>'Sales and COGS Forecasts'!P11+'Sales and COGS Forecasts'!P17+'Sales and COGS Forecasts'!P38</f>
        <v>19</v>
      </c>
      <c r="Q168" s="795">
        <f>'Sales and COGS Forecasts'!Q11+'Sales and COGS Forecasts'!Q17+'Sales and COGS Forecasts'!Q38</f>
        <v>24</v>
      </c>
      <c r="R168" s="795">
        <f>'Sales and COGS Forecasts'!R11+'Sales and COGS Forecasts'!R17+'Sales and COGS Forecasts'!R38</f>
        <v>28</v>
      </c>
      <c r="S168" s="795">
        <f>'Sales and COGS Forecasts'!S11+'Sales and COGS Forecasts'!S17+'Sales and COGS Forecasts'!S38</f>
        <v>32</v>
      </c>
      <c r="T168" s="945">
        <f>'Sales and COGS Forecasts'!T11+'Sales and COGS Forecasts'!T17+'Sales and COGS Forecasts'!T38</f>
        <v>32</v>
      </c>
      <c r="U168" s="795">
        <f>'Sales and COGS Forecasts'!U11+'Sales and COGS Forecasts'!U17+'Sales and COGS Forecasts'!U38</f>
        <v>36</v>
      </c>
      <c r="V168" s="795">
        <f>'Sales and COGS Forecasts'!V11+'Sales and COGS Forecasts'!V17+'Sales and COGS Forecasts'!V38</f>
        <v>40</v>
      </c>
      <c r="W168" s="795">
        <f>'Sales and COGS Forecasts'!W11+'Sales and COGS Forecasts'!W17+'Sales and COGS Forecasts'!W38</f>
        <v>44</v>
      </c>
      <c r="X168" s="795">
        <f>'Sales and COGS Forecasts'!X11+'Sales and COGS Forecasts'!X17+'Sales and COGS Forecasts'!X38</f>
        <v>48</v>
      </c>
      <c r="Y168" s="795">
        <f>'Sales and COGS Forecasts'!Y11+'Sales and COGS Forecasts'!Y17+'Sales and COGS Forecasts'!Y38</f>
        <v>50</v>
      </c>
      <c r="Z168" s="795">
        <f>'Sales and COGS Forecasts'!Z11+'Sales and COGS Forecasts'!Z17+'Sales and COGS Forecasts'!Z38</f>
        <v>50</v>
      </c>
      <c r="AA168" s="795">
        <f>'Sales and COGS Forecasts'!AA11+'Sales and COGS Forecasts'!AA17+'Sales and COGS Forecasts'!AA38</f>
        <v>50</v>
      </c>
      <c r="AB168" s="795">
        <f>'Sales and COGS Forecasts'!AB11+'Sales and COGS Forecasts'!AB17+'Sales and COGS Forecasts'!AB38</f>
        <v>50</v>
      </c>
      <c r="AC168" s="795">
        <f>'Sales and COGS Forecasts'!AC11+'Sales and COGS Forecasts'!AC17+'Sales and COGS Forecasts'!AC38</f>
        <v>50</v>
      </c>
      <c r="AD168" s="795">
        <f>'Sales and COGS Forecasts'!AD11+'Sales and COGS Forecasts'!AD17+'Sales and COGS Forecasts'!AD38</f>
        <v>50</v>
      </c>
      <c r="AE168" s="795">
        <f>'Sales and COGS Forecasts'!AE11+'Sales and COGS Forecasts'!AE17+'Sales and COGS Forecasts'!AE38</f>
        <v>50</v>
      </c>
      <c r="AF168" s="795">
        <f>'Sales and COGS Forecasts'!AF11+'Sales and COGS Forecasts'!AF17+'Sales and COGS Forecasts'!AF38</f>
        <v>50</v>
      </c>
      <c r="AG168" s="945">
        <f>'Sales and COGS Forecasts'!AG11+'Sales and COGS Forecasts'!AG17+'Sales and COGS Forecasts'!AG38</f>
        <v>50</v>
      </c>
      <c r="AH168" s="945">
        <f>'Sales and COGS Forecasts'!AH11+'Sales and COGS Forecasts'!AH17+'Sales and COGS Forecasts'!AH38</f>
        <v>50</v>
      </c>
      <c r="AI168" s="945">
        <f>'Sales and COGS Forecasts'!AI11+'Sales and COGS Forecasts'!AI17+'Sales and COGS Forecasts'!AI38</f>
        <v>50</v>
      </c>
      <c r="AJ168" s="945">
        <f>'Sales and COGS Forecasts'!AJ11+'Sales and COGS Forecasts'!AJ17+'Sales and COGS Forecasts'!AJ38</f>
        <v>50</v>
      </c>
      <c r="AK168" s="945">
        <f>'Sales and COGS Forecasts'!AK11+'Sales and COGS Forecasts'!AK17+'Sales and COGS Forecasts'!AK38</f>
        <v>50</v>
      </c>
      <c r="AL168" s="945">
        <f>'Sales and COGS Forecasts'!AL11+'Sales and COGS Forecasts'!AL17+'Sales and COGS Forecasts'!AL38</f>
        <v>50</v>
      </c>
      <c r="AM168" s="945">
        <f>'Sales and COGS Forecasts'!AM11+'Sales and COGS Forecasts'!AM17+'Sales and COGS Forecasts'!AM38</f>
        <v>50</v>
      </c>
      <c r="AN168" s="945">
        <f>'Sales and COGS Forecasts'!AN11+'Sales and COGS Forecasts'!AN17+'Sales and COGS Forecasts'!AN38</f>
        <v>50</v>
      </c>
      <c r="AO168" s="945">
        <f>'Sales and COGS Forecasts'!AO11+'Sales and COGS Forecasts'!AO17+'Sales and COGS Forecasts'!AO38</f>
        <v>50</v>
      </c>
    </row>
    <row r="169" spans="1:41" x14ac:dyDescent="0.2">
      <c r="A169" s="34" t="s">
        <v>350</v>
      </c>
      <c r="B169" s="34"/>
      <c r="C169" s="259">
        <v>0</v>
      </c>
      <c r="D169" s="259">
        <v>0</v>
      </c>
      <c r="E169" s="259">
        <v>0</v>
      </c>
      <c r="F169" s="259">
        <v>0</v>
      </c>
      <c r="G169" s="280">
        <v>0</v>
      </c>
      <c r="H169" s="259">
        <f>H167/H168</f>
        <v>0</v>
      </c>
      <c r="I169" s="259">
        <f t="shared" ref="I169:AF169" si="202">I167/I168</f>
        <v>0</v>
      </c>
      <c r="J169" s="259">
        <f t="shared" si="202"/>
        <v>0</v>
      </c>
      <c r="K169" s="259">
        <f t="shared" si="202"/>
        <v>0</v>
      </c>
      <c r="L169" s="259">
        <f t="shared" si="202"/>
        <v>0</v>
      </c>
      <c r="M169" s="259">
        <f t="shared" si="202"/>
        <v>0</v>
      </c>
      <c r="N169" s="259">
        <f t="shared" si="202"/>
        <v>0</v>
      </c>
      <c r="O169" s="259">
        <f t="shared" si="202"/>
        <v>0</v>
      </c>
      <c r="P169" s="259">
        <f t="shared" si="202"/>
        <v>0</v>
      </c>
      <c r="Q169" s="259">
        <f t="shared" si="202"/>
        <v>0</v>
      </c>
      <c r="R169" s="259">
        <f t="shared" si="202"/>
        <v>0</v>
      </c>
      <c r="S169" s="259">
        <f t="shared" si="202"/>
        <v>0</v>
      </c>
      <c r="T169" s="280">
        <f t="shared" si="202"/>
        <v>0</v>
      </c>
      <c r="U169" s="259">
        <f t="shared" si="202"/>
        <v>0</v>
      </c>
      <c r="V169" s="259">
        <f t="shared" si="202"/>
        <v>0</v>
      </c>
      <c r="W169" s="259">
        <f t="shared" si="202"/>
        <v>0</v>
      </c>
      <c r="X169" s="259">
        <f t="shared" si="202"/>
        <v>0</v>
      </c>
      <c r="Y169" s="259">
        <f t="shared" si="202"/>
        <v>0</v>
      </c>
      <c r="Z169" s="259">
        <f t="shared" si="202"/>
        <v>0</v>
      </c>
      <c r="AA169" s="259">
        <f t="shared" si="202"/>
        <v>0</v>
      </c>
      <c r="AB169" s="259">
        <f t="shared" si="202"/>
        <v>0</v>
      </c>
      <c r="AC169" s="259">
        <f t="shared" si="202"/>
        <v>0</v>
      </c>
      <c r="AD169" s="259">
        <f t="shared" si="202"/>
        <v>0</v>
      </c>
      <c r="AE169" s="259">
        <f t="shared" si="202"/>
        <v>0</v>
      </c>
      <c r="AF169" s="259">
        <f t="shared" si="202"/>
        <v>0</v>
      </c>
      <c r="AG169" s="280">
        <f>AG167/AG168</f>
        <v>0</v>
      </c>
      <c r="AH169" s="280">
        <f t="shared" ref="AH169:AO169" si="203">AH167/AH168</f>
        <v>0</v>
      </c>
      <c r="AI169" s="280">
        <f t="shared" si="203"/>
        <v>0</v>
      </c>
      <c r="AJ169" s="280">
        <f t="shared" si="203"/>
        <v>0</v>
      </c>
      <c r="AK169" s="280">
        <f t="shared" si="203"/>
        <v>0</v>
      </c>
      <c r="AL169" s="280">
        <f t="shared" si="203"/>
        <v>0</v>
      </c>
      <c r="AM169" s="280">
        <f t="shared" si="203"/>
        <v>0</v>
      </c>
      <c r="AN169" s="280">
        <f t="shared" si="203"/>
        <v>0</v>
      </c>
      <c r="AO169" s="280">
        <f t="shared" si="203"/>
        <v>0</v>
      </c>
    </row>
    <row r="170" spans="1:41" x14ac:dyDescent="0.2">
      <c r="A170" s="1"/>
      <c r="B170" s="1"/>
      <c r="C170" s="1"/>
      <c r="D170" s="1"/>
      <c r="E170" s="1"/>
      <c r="F170" s="1"/>
      <c r="G170" s="26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6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268"/>
      <c r="AH170" s="268"/>
      <c r="AI170" s="268"/>
      <c r="AJ170" s="268"/>
      <c r="AK170" s="268"/>
      <c r="AL170" s="268"/>
      <c r="AM170" s="268"/>
      <c r="AN170" s="268"/>
      <c r="AO170" s="268"/>
    </row>
    <row r="171" spans="1:41" x14ac:dyDescent="0.2">
      <c r="A171" s="436" t="s">
        <v>345</v>
      </c>
      <c r="B171" s="1"/>
      <c r="C171" s="1"/>
      <c r="D171" s="1"/>
      <c r="E171" s="1"/>
      <c r="F171" s="1"/>
      <c r="G171" s="26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6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268"/>
      <c r="AH171" s="268"/>
      <c r="AI171" s="268"/>
      <c r="AJ171" s="268"/>
      <c r="AK171" s="268"/>
      <c r="AL171" s="268"/>
      <c r="AM171" s="268"/>
      <c r="AN171" s="268"/>
      <c r="AO171" s="268"/>
    </row>
    <row r="172" spans="1:41" x14ac:dyDescent="0.2">
      <c r="A172" s="1"/>
      <c r="B172" s="1"/>
      <c r="C172" s="1"/>
      <c r="D172" s="1"/>
      <c r="E172" s="1"/>
      <c r="F172" s="1"/>
      <c r="G172" s="26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6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268"/>
      <c r="AH172" s="268"/>
      <c r="AI172" s="268"/>
      <c r="AJ172" s="268"/>
      <c r="AK172" s="268"/>
      <c r="AL172" s="268"/>
      <c r="AM172" s="268"/>
      <c r="AN172" s="268"/>
      <c r="AO172" s="268"/>
    </row>
    <row r="173" spans="1:41" x14ac:dyDescent="0.2">
      <c r="A173" s="1" t="s">
        <v>288</v>
      </c>
      <c r="B173" s="1"/>
      <c r="C173" s="258">
        <f t="shared" ref="C173:F173" si="204">D173</f>
        <v>30</v>
      </c>
      <c r="D173" s="258">
        <f t="shared" si="204"/>
        <v>30</v>
      </c>
      <c r="E173" s="258">
        <f t="shared" si="204"/>
        <v>30</v>
      </c>
      <c r="F173" s="258">
        <f t="shared" si="204"/>
        <v>30</v>
      </c>
      <c r="G173" s="946">
        <v>30</v>
      </c>
      <c r="H173" s="258">
        <f>I173</f>
        <v>17.563664596273291</v>
      </c>
      <c r="I173" s="258">
        <f t="shared" ref="I173:M173" si="205">J173</f>
        <v>17.563664596273291</v>
      </c>
      <c r="J173" s="258">
        <f t="shared" si="205"/>
        <v>17.563664596273291</v>
      </c>
      <c r="K173" s="258">
        <f t="shared" si="205"/>
        <v>17.563664596273291</v>
      </c>
      <c r="L173" s="258">
        <f t="shared" si="205"/>
        <v>17.563664596273291</v>
      </c>
      <c r="M173" s="258">
        <f t="shared" si="205"/>
        <v>17.563664596273291</v>
      </c>
      <c r="N173" s="258">
        <f>O173</f>
        <v>17.563664596273291</v>
      </c>
      <c r="O173" s="258">
        <f>P173</f>
        <v>17.563664596273291</v>
      </c>
      <c r="P173" s="258">
        <f>Q173</f>
        <v>17.563664596273291</v>
      </c>
      <c r="Q173" s="258">
        <f>R173</f>
        <v>17.563664596273291</v>
      </c>
      <c r="R173" s="258">
        <f>S173</f>
        <v>17.563664596273291</v>
      </c>
      <c r="S173" s="258">
        <f>U173</f>
        <v>17.563664596273291</v>
      </c>
      <c r="T173" s="946">
        <v>30</v>
      </c>
      <c r="U173" s="258">
        <f t="shared" ref="U173:AD173" si="206">V173</f>
        <v>17.563664596273291</v>
      </c>
      <c r="V173" s="258">
        <f t="shared" si="206"/>
        <v>17.563664596273291</v>
      </c>
      <c r="W173" s="258">
        <f t="shared" si="206"/>
        <v>17.563664596273291</v>
      </c>
      <c r="X173" s="258">
        <f t="shared" si="206"/>
        <v>17.563664596273291</v>
      </c>
      <c r="Y173" s="258">
        <f t="shared" si="206"/>
        <v>17.563664596273291</v>
      </c>
      <c r="Z173" s="258">
        <f t="shared" si="206"/>
        <v>17.563664596273291</v>
      </c>
      <c r="AA173" s="258">
        <f t="shared" si="206"/>
        <v>17.563664596273291</v>
      </c>
      <c r="AB173" s="258">
        <f t="shared" si="206"/>
        <v>17.563664596273291</v>
      </c>
      <c r="AC173" s="258">
        <f t="shared" si="206"/>
        <v>17.563664596273291</v>
      </c>
      <c r="AD173" s="258">
        <f t="shared" si="206"/>
        <v>17.563664596273291</v>
      </c>
      <c r="AE173" s="258">
        <f>AF173</f>
        <v>17.563664596273291</v>
      </c>
      <c r="AF173" s="258">
        <f>AF175/AF174*30</f>
        <v>17.563664596273291</v>
      </c>
      <c r="AG173" s="946">
        <f>T173</f>
        <v>30</v>
      </c>
      <c r="AH173" s="946">
        <f>AG173</f>
        <v>30</v>
      </c>
      <c r="AI173" s="946">
        <f t="shared" ref="AI173:AO173" si="207">AH173</f>
        <v>30</v>
      </c>
      <c r="AJ173" s="946">
        <f t="shared" si="207"/>
        <v>30</v>
      </c>
      <c r="AK173" s="946">
        <f t="shared" si="207"/>
        <v>30</v>
      </c>
      <c r="AL173" s="946">
        <f t="shared" si="207"/>
        <v>30</v>
      </c>
      <c r="AM173" s="946">
        <f t="shared" si="207"/>
        <v>30</v>
      </c>
      <c r="AN173" s="946">
        <f t="shared" si="207"/>
        <v>30</v>
      </c>
      <c r="AO173" s="946">
        <f t="shared" si="207"/>
        <v>30</v>
      </c>
    </row>
    <row r="174" spans="1:41" x14ac:dyDescent="0.2">
      <c r="A174" s="1" t="s">
        <v>273</v>
      </c>
      <c r="B174" s="1"/>
      <c r="C174" s="44">
        <f>'P&amp;L'!C3</f>
        <v>0</v>
      </c>
      <c r="D174" s="44">
        <f>'P&amp;L'!D3</f>
        <v>0</v>
      </c>
      <c r="E174" s="44">
        <f>'P&amp;L'!E3</f>
        <v>0</v>
      </c>
      <c r="F174" s="44">
        <f>'P&amp;L'!F3</f>
        <v>0</v>
      </c>
      <c r="G174" s="45">
        <f>'P&amp;L'!G3</f>
        <v>0</v>
      </c>
      <c r="H174" s="44">
        <f>'P&amp;L'!H3</f>
        <v>0</v>
      </c>
      <c r="I174" s="44">
        <f>'P&amp;L'!I3</f>
        <v>0</v>
      </c>
      <c r="J174" s="44">
        <f>'P&amp;L'!J3</f>
        <v>0</v>
      </c>
      <c r="K174" s="44">
        <f>'P&amp;L'!K3</f>
        <v>0</v>
      </c>
      <c r="L174" s="44">
        <f>'P&amp;L'!L3</f>
        <v>0</v>
      </c>
      <c r="M174" s="44">
        <f>'P&amp;L'!M3</f>
        <v>0</v>
      </c>
      <c r="N174" s="44">
        <f>'P&amp;L'!N3</f>
        <v>0</v>
      </c>
      <c r="O174" s="44">
        <f>'P&amp;L'!O3</f>
        <v>0</v>
      </c>
      <c r="P174" s="44">
        <f>'P&amp;L'!P3</f>
        <v>0</v>
      </c>
      <c r="Q174" s="44">
        <f>'P&amp;L'!Q3</f>
        <v>0</v>
      </c>
      <c r="R174" s="44">
        <f>'P&amp;L'!R3</f>
        <v>0</v>
      </c>
      <c r="S174" s="44">
        <f>'P&amp;L'!S3</f>
        <v>0</v>
      </c>
      <c r="T174" s="45">
        <f>SUM(H174:S174)</f>
        <v>0</v>
      </c>
      <c r="U174" s="44">
        <f>'P&amp;L'!U3</f>
        <v>0</v>
      </c>
      <c r="V174" s="44">
        <f>'P&amp;L'!V3</f>
        <v>0</v>
      </c>
      <c r="W174" s="44">
        <f>'P&amp;L'!W3</f>
        <v>578437.50000000012</v>
      </c>
      <c r="X174" s="44">
        <f>'P&amp;L'!X3</f>
        <v>706875</v>
      </c>
      <c r="Y174" s="44">
        <f>'P&amp;L'!Y3</f>
        <v>820312.5</v>
      </c>
      <c r="Z174" s="44">
        <f>'P&amp;L'!Z3</f>
        <v>918750</v>
      </c>
      <c r="AA174" s="44">
        <f>'P&amp;L'!AA3</f>
        <v>1017187.5</v>
      </c>
      <c r="AB174" s="44">
        <f>'P&amp;L'!AB3</f>
        <v>1115625</v>
      </c>
      <c r="AC174" s="44">
        <f>'P&amp;L'!AC3</f>
        <v>1214062.5</v>
      </c>
      <c r="AD174" s="44">
        <f>'P&amp;L'!AD3</f>
        <v>1312500</v>
      </c>
      <c r="AE174" s="44">
        <f>'P&amp;L'!AE3</f>
        <v>1410937.5</v>
      </c>
      <c r="AF174" s="44">
        <f>'P&amp;L'!AF3</f>
        <v>1509375</v>
      </c>
      <c r="AG174" s="941">
        <f>SUM(U174:AF174)</f>
        <v>10604062.5</v>
      </c>
      <c r="AH174" s="45">
        <f>'P&amp;L'!AH3</f>
        <v>32333381.249999996</v>
      </c>
      <c r="AI174" s="45">
        <f>'P&amp;L'!AI3</f>
        <v>61733910.434999995</v>
      </c>
      <c r="AJ174" s="45">
        <f>'P&amp;L'!AJ3</f>
        <v>104580761.18707497</v>
      </c>
      <c r="AK174" s="45">
        <f>'P&amp;L'!AK3</f>
        <v>160725420.05386654</v>
      </c>
      <c r="AL174" s="45">
        <f>'P&amp;L'!AL3</f>
        <v>210658144.65336478</v>
      </c>
      <c r="AM174" s="45">
        <f>'P&amp;L'!AM3</f>
        <v>247591562.33242396</v>
      </c>
      <c r="AN174" s="45">
        <f>'P&amp;L'!AN3</f>
        <v>282525091.72696775</v>
      </c>
      <c r="AO174" s="45">
        <f>'P&amp;L'!AO3</f>
        <v>317267219.53468227</v>
      </c>
    </row>
    <row r="175" spans="1:41" x14ac:dyDescent="0.2">
      <c r="A175" s="735" t="s">
        <v>289</v>
      </c>
      <c r="B175" s="735"/>
      <c r="C175" s="736">
        <f t="shared" ref="C175:F175" si="208">C174*C173/30</f>
        <v>0</v>
      </c>
      <c r="D175" s="736">
        <f t="shared" si="208"/>
        <v>0</v>
      </c>
      <c r="E175" s="736">
        <f t="shared" si="208"/>
        <v>0</v>
      </c>
      <c r="F175" s="736">
        <f t="shared" si="208"/>
        <v>0</v>
      </c>
      <c r="G175" s="940">
        <f>G174*G173/360</f>
        <v>0</v>
      </c>
      <c r="H175" s="736">
        <f>H174*H173/30</f>
        <v>0</v>
      </c>
      <c r="I175" s="736">
        <f t="shared" ref="I175:M175" si="209">I174*I173/30</f>
        <v>0</v>
      </c>
      <c r="J175" s="736">
        <f t="shared" si="209"/>
        <v>0</v>
      </c>
      <c r="K175" s="736">
        <f t="shared" si="209"/>
        <v>0</v>
      </c>
      <c r="L175" s="736">
        <f t="shared" si="209"/>
        <v>0</v>
      </c>
      <c r="M175" s="736">
        <f t="shared" si="209"/>
        <v>0</v>
      </c>
      <c r="N175" s="736">
        <f>N174*N173/30</f>
        <v>0</v>
      </c>
      <c r="O175" s="736">
        <f>O174*O173/30</f>
        <v>0</v>
      </c>
      <c r="P175" s="736">
        <f>P174*P173/30</f>
        <v>0</v>
      </c>
      <c r="Q175" s="736">
        <f>Q174*Q173/30</f>
        <v>0</v>
      </c>
      <c r="R175" s="736">
        <f>R174*R173/30</f>
        <v>0</v>
      </c>
      <c r="S175" s="736">
        <f>T175</f>
        <v>0</v>
      </c>
      <c r="T175" s="940">
        <f>T174*T173/360</f>
        <v>0</v>
      </c>
      <c r="U175" s="736">
        <f t="shared" ref="U175:AE175" si="210">U174*U173/30</f>
        <v>0</v>
      </c>
      <c r="V175" s="736">
        <f t="shared" si="210"/>
        <v>0</v>
      </c>
      <c r="W175" s="736">
        <f t="shared" si="210"/>
        <v>338649.4079968945</v>
      </c>
      <c r="X175" s="736">
        <f t="shared" si="210"/>
        <v>413843.84704968944</v>
      </c>
      <c r="Y175" s="736">
        <f t="shared" si="210"/>
        <v>480256.45380434778</v>
      </c>
      <c r="Z175" s="736">
        <f t="shared" si="210"/>
        <v>537887.22826086951</v>
      </c>
      <c r="AA175" s="736">
        <f t="shared" si="210"/>
        <v>595518.00271739124</v>
      </c>
      <c r="AB175" s="736">
        <f t="shared" si="210"/>
        <v>653148.77717391297</v>
      </c>
      <c r="AC175" s="736">
        <f t="shared" si="210"/>
        <v>710779.55163043481</v>
      </c>
      <c r="AD175" s="736">
        <f t="shared" si="210"/>
        <v>768410.32608695654</v>
      </c>
      <c r="AE175" s="736">
        <f t="shared" si="210"/>
        <v>826041.10054347827</v>
      </c>
      <c r="AF175" s="736">
        <f>AG175</f>
        <v>883671.875</v>
      </c>
      <c r="AG175" s="940">
        <f>AG174*AG173/360</f>
        <v>883671.875</v>
      </c>
      <c r="AH175" s="940">
        <f>AH174*AH173/360</f>
        <v>2694448.4374999995</v>
      </c>
      <c r="AI175" s="940">
        <f t="shared" ref="AI175:AO175" si="211">AI174*AI173/360</f>
        <v>5144492.5362499999</v>
      </c>
      <c r="AJ175" s="940">
        <f t="shared" si="211"/>
        <v>8715063.4322562478</v>
      </c>
      <c r="AK175" s="940">
        <f t="shared" si="211"/>
        <v>13393785.004488878</v>
      </c>
      <c r="AL175" s="940">
        <f t="shared" si="211"/>
        <v>17554845.387780398</v>
      </c>
      <c r="AM175" s="940">
        <f t="shared" si="211"/>
        <v>20632630.19436866</v>
      </c>
      <c r="AN175" s="940">
        <f t="shared" si="211"/>
        <v>23543757.643913981</v>
      </c>
      <c r="AO175" s="940">
        <f t="shared" si="211"/>
        <v>26438934.961223524</v>
      </c>
    </row>
    <row r="176" spans="1:41" x14ac:dyDescent="0.2">
      <c r="A176" s="1"/>
      <c r="B176" s="1"/>
      <c r="C176" s="1"/>
      <c r="D176" s="1"/>
      <c r="E176" s="1"/>
      <c r="F176" s="1"/>
      <c r="G176" s="26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6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268"/>
      <c r="AH176" s="268"/>
      <c r="AI176" s="268"/>
      <c r="AJ176" s="268"/>
      <c r="AK176" s="268"/>
      <c r="AL176" s="268"/>
      <c r="AM176" s="268"/>
      <c r="AN176" s="268"/>
      <c r="AO176" s="268"/>
    </row>
    <row r="177" spans="1:41" x14ac:dyDescent="0.2">
      <c r="A177" s="1" t="s">
        <v>290</v>
      </c>
      <c r="B177" s="1"/>
      <c r="C177" s="258">
        <f t="shared" ref="C177:F177" si="212">D177</f>
        <v>30</v>
      </c>
      <c r="D177" s="258">
        <f t="shared" si="212"/>
        <v>30</v>
      </c>
      <c r="E177" s="258">
        <f t="shared" si="212"/>
        <v>30</v>
      </c>
      <c r="F177" s="258">
        <f t="shared" si="212"/>
        <v>30</v>
      </c>
      <c r="G177" s="946">
        <v>30</v>
      </c>
      <c r="H177" s="258">
        <f>$T177</f>
        <v>30</v>
      </c>
      <c r="I177" s="258">
        <f t="shared" ref="I177:S177" si="213">$T177</f>
        <v>30</v>
      </c>
      <c r="J177" s="258">
        <f t="shared" si="213"/>
        <v>30</v>
      </c>
      <c r="K177" s="258">
        <f t="shared" si="213"/>
        <v>30</v>
      </c>
      <c r="L177" s="258">
        <f t="shared" si="213"/>
        <v>30</v>
      </c>
      <c r="M177" s="258">
        <f t="shared" si="213"/>
        <v>30</v>
      </c>
      <c r="N177" s="258">
        <f t="shared" si="213"/>
        <v>30</v>
      </c>
      <c r="O177" s="258">
        <f t="shared" si="213"/>
        <v>30</v>
      </c>
      <c r="P177" s="258">
        <f t="shared" si="213"/>
        <v>30</v>
      </c>
      <c r="Q177" s="258">
        <f t="shared" si="213"/>
        <v>30</v>
      </c>
      <c r="R177" s="258">
        <f t="shared" si="213"/>
        <v>30</v>
      </c>
      <c r="S177" s="258">
        <f t="shared" si="213"/>
        <v>30</v>
      </c>
      <c r="T177" s="946">
        <v>30</v>
      </c>
      <c r="U177" s="258">
        <f>$AG177</f>
        <v>30</v>
      </c>
      <c r="V177" s="258">
        <f t="shared" ref="V177:AF177" si="214">$AG177</f>
        <v>30</v>
      </c>
      <c r="W177" s="258">
        <f t="shared" si="214"/>
        <v>30</v>
      </c>
      <c r="X177" s="258">
        <f t="shared" si="214"/>
        <v>30</v>
      </c>
      <c r="Y177" s="258">
        <f t="shared" si="214"/>
        <v>30</v>
      </c>
      <c r="Z177" s="258">
        <f t="shared" si="214"/>
        <v>30</v>
      </c>
      <c r="AA177" s="258">
        <f t="shared" si="214"/>
        <v>30</v>
      </c>
      <c r="AB177" s="258">
        <f t="shared" si="214"/>
        <v>30</v>
      </c>
      <c r="AC177" s="258">
        <f t="shared" si="214"/>
        <v>30</v>
      </c>
      <c r="AD177" s="258">
        <f t="shared" si="214"/>
        <v>30</v>
      </c>
      <c r="AE177" s="258">
        <f t="shared" si="214"/>
        <v>30</v>
      </c>
      <c r="AF177" s="258">
        <f t="shared" si="214"/>
        <v>30</v>
      </c>
      <c r="AG177" s="946">
        <f>T177</f>
        <v>30</v>
      </c>
      <c r="AH177" s="946">
        <f>AG177</f>
        <v>30</v>
      </c>
      <c r="AI177" s="946">
        <f>AH177</f>
        <v>30</v>
      </c>
      <c r="AJ177" s="946">
        <f t="shared" ref="AJ177:AO177" si="215">AI177</f>
        <v>30</v>
      </c>
      <c r="AK177" s="946">
        <f t="shared" si="215"/>
        <v>30</v>
      </c>
      <c r="AL177" s="946">
        <f t="shared" si="215"/>
        <v>30</v>
      </c>
      <c r="AM177" s="946">
        <f t="shared" si="215"/>
        <v>30</v>
      </c>
      <c r="AN177" s="946">
        <f t="shared" si="215"/>
        <v>30</v>
      </c>
      <c r="AO177" s="946">
        <f t="shared" si="215"/>
        <v>30</v>
      </c>
    </row>
    <row r="178" spans="1:41" x14ac:dyDescent="0.2">
      <c r="A178" s="1" t="s">
        <v>291</v>
      </c>
      <c r="B178" s="1"/>
      <c r="C178" s="44">
        <f>'Sales and COGS Forecasts'!C457+'Sales and COGS Forecasts'!C463+'P&amp;L'!C22+'P&amp;L'!C23+'P&amp;L'!C24+'P&amp;L'!C25+'P&amp;L'!C26+'P&amp;L'!C27+'P&amp;L'!C28+'P&amp;L'!C29+'P&amp;L'!C30+'P&amp;L'!C31+'P&amp;L'!C32+'P&amp;L'!C33+'P&amp;L'!C34+'P&amp;L'!C35</f>
        <v>0</v>
      </c>
      <c r="D178" s="44">
        <f>'Sales and COGS Forecasts'!D457+'Sales and COGS Forecasts'!D463+'P&amp;L'!D22+'P&amp;L'!D23+'P&amp;L'!D24+'P&amp;L'!D25+'P&amp;L'!D26+'P&amp;L'!D27+'P&amp;L'!D28+'P&amp;L'!D29+'P&amp;L'!D30+'P&amp;L'!D31+'P&amp;L'!D32+'P&amp;L'!D33+'P&amp;L'!D34+'P&amp;L'!D35</f>
        <v>52300</v>
      </c>
      <c r="E178" s="44">
        <f>'Sales and COGS Forecasts'!E457+'Sales and COGS Forecasts'!E463+'P&amp;L'!E22+'P&amp;L'!E23+'P&amp;L'!E24+'P&amp;L'!E25+'P&amp;L'!E26+'P&amp;L'!E27+'P&amp;L'!E28+'P&amp;L'!E29+'P&amp;L'!E30+'P&amp;L'!E31+'P&amp;L'!E32+'P&amp;L'!E33+'P&amp;L'!E34+'P&amp;L'!E35</f>
        <v>0</v>
      </c>
      <c r="F178" s="44">
        <f>'Sales and COGS Forecasts'!F457+'Sales and COGS Forecasts'!F463+'P&amp;L'!F22+'P&amp;L'!F23+'P&amp;L'!F24+'P&amp;L'!F25+'P&amp;L'!F26+'P&amp;L'!F27+'P&amp;L'!F28+'P&amp;L'!F29+'P&amp;L'!F30+'P&amp;L'!F31+'P&amp;L'!F32+'P&amp;L'!F33+'P&amp;L'!F34+'P&amp;L'!F35</f>
        <v>0</v>
      </c>
      <c r="G178" s="941">
        <f>SUM(C178:F178)</f>
        <v>52300</v>
      </c>
      <c r="H178" s="44">
        <f>'Sales and COGS Forecasts'!H457+'Sales and COGS Forecasts'!H463+'P&amp;L'!H22+'P&amp;L'!H23+'P&amp;L'!H24+'P&amp;L'!H25+'P&amp;L'!H26+'P&amp;L'!H27+'P&amp;L'!H28+'P&amp;L'!H29+'P&amp;L'!H30+'P&amp;L'!H31+'P&amp;L'!H32+'P&amp;L'!H33+'P&amp;L'!H34+'P&amp;L'!H35</f>
        <v>222043.66666666666</v>
      </c>
      <c r="I178" s="44">
        <f>'Sales and COGS Forecasts'!I457+'Sales and COGS Forecasts'!I463+'P&amp;L'!I22+'P&amp;L'!I23+'P&amp;L'!I24+'P&amp;L'!I25+'P&amp;L'!I26+'P&amp;L'!I27+'P&amp;L'!I28+'P&amp;L'!I29+'P&amp;L'!I30+'P&amp;L'!I31+'P&amp;L'!I32+'P&amp;L'!I33+'P&amp;L'!I34+'P&amp;L'!I35</f>
        <v>183041.66666666666</v>
      </c>
      <c r="J178" s="44">
        <f>'Sales and COGS Forecasts'!J457+'Sales and COGS Forecasts'!J463+'P&amp;L'!J22+'P&amp;L'!J23+'P&amp;L'!J24+'P&amp;L'!J25+'P&amp;L'!J26+'P&amp;L'!J27+'P&amp;L'!J28+'P&amp;L'!J29+'P&amp;L'!J30+'P&amp;L'!J31+'P&amp;L'!J32+'P&amp;L'!J33+'P&amp;L'!J34+'P&amp;L'!J35</f>
        <v>159041.66666666666</v>
      </c>
      <c r="K178" s="44">
        <f>'Sales and COGS Forecasts'!K457+'Sales and COGS Forecasts'!K463+'P&amp;L'!K22+'P&amp;L'!K23+'P&amp;L'!K24+'P&amp;L'!K25+'P&amp;L'!K26+'P&amp;L'!K27+'P&amp;L'!K28+'P&amp;L'!K29+'P&amp;L'!K30+'P&amp;L'!K31+'P&amp;L'!K32+'P&amp;L'!K33+'P&amp;L'!K34+'P&amp;L'!K35</f>
        <v>15041.666666666666</v>
      </c>
      <c r="L178" s="44">
        <f>'Sales and COGS Forecasts'!L457+'Sales and COGS Forecasts'!L463+'P&amp;L'!L22+'P&amp;L'!L23+'P&amp;L'!L24+'P&amp;L'!L25+'P&amp;L'!L26+'P&amp;L'!L27+'P&amp;L'!L28+'P&amp;L'!L29+'P&amp;L'!L30+'P&amp;L'!L31+'P&amp;L'!L32+'P&amp;L'!L33+'P&amp;L'!L34+'P&amp;L'!L35</f>
        <v>10041.666666666668</v>
      </c>
      <c r="M178" s="44">
        <f>'Sales and COGS Forecasts'!M457+'Sales and COGS Forecasts'!M463+'P&amp;L'!M22+'P&amp;L'!M23+'P&amp;L'!M24+'P&amp;L'!M25+'P&amp;L'!M26+'P&amp;L'!M27+'P&amp;L'!M28+'P&amp;L'!M29+'P&amp;L'!M30+'P&amp;L'!M31+'P&amp;L'!M32+'P&amp;L'!M33+'P&amp;L'!M34+'P&amp;L'!M35</f>
        <v>10041.666666666668</v>
      </c>
      <c r="N178" s="44">
        <f>'Sales and COGS Forecasts'!N457+'Sales and COGS Forecasts'!N463+'P&amp;L'!N22+'P&amp;L'!N23+'P&amp;L'!N24+'P&amp;L'!N25+'P&amp;L'!N26+'P&amp;L'!N27+'P&amp;L'!N28+'P&amp;L'!N29+'P&amp;L'!N30+'P&amp;L'!N31+'P&amp;L'!N32+'P&amp;L'!N33+'P&amp;L'!N34+'P&amp;L'!N35</f>
        <v>11541.666666666666</v>
      </c>
      <c r="O178" s="44">
        <f>'Sales and COGS Forecasts'!O457+'Sales and COGS Forecasts'!O463+'P&amp;L'!O22+'P&amp;L'!O23+'P&amp;L'!O24+'P&amp;L'!O25+'P&amp;L'!O26+'P&amp;L'!O27+'P&amp;L'!O28+'P&amp;L'!O29+'P&amp;L'!O30+'P&amp;L'!O31+'P&amp;L'!O32+'P&amp;L'!O33+'P&amp;L'!O34+'P&amp;L'!O35</f>
        <v>11541.666666666666</v>
      </c>
      <c r="P178" s="44">
        <f>'Sales and COGS Forecasts'!P457+'Sales and COGS Forecasts'!P463+'P&amp;L'!P22+'P&amp;L'!P23+'P&amp;L'!P24+'P&amp;L'!P25+'P&amp;L'!P26+'P&amp;L'!P27+'P&amp;L'!P28+'P&amp;L'!P29+'P&amp;L'!P30+'P&amp;L'!P31+'P&amp;L'!P32+'P&amp;L'!P33+'P&amp;L'!P34+'P&amp;L'!P35</f>
        <v>11541.666666666666</v>
      </c>
      <c r="Q178" s="44">
        <f>'Sales and COGS Forecasts'!Q457+'Sales and COGS Forecasts'!Q463+'P&amp;L'!Q22+'P&amp;L'!Q23+'P&amp;L'!Q24+'P&amp;L'!Q25+'P&amp;L'!Q26+'P&amp;L'!Q27+'P&amp;L'!Q28+'P&amp;L'!Q29+'P&amp;L'!Q30+'P&amp;L'!Q31+'P&amp;L'!Q32+'P&amp;L'!Q33+'P&amp;L'!Q34+'P&amp;L'!Q35</f>
        <v>14243.666666666666</v>
      </c>
      <c r="R178" s="44">
        <f>'Sales and COGS Forecasts'!R457+'Sales and COGS Forecasts'!R463+'P&amp;L'!R22+'P&amp;L'!R23+'P&amp;L'!R24+'P&amp;L'!R25+'P&amp;L'!R26+'P&amp;L'!R27+'P&amp;L'!R28+'P&amp;L'!R29+'P&amp;L'!R30+'P&amp;L'!R31+'P&amp;L'!R32+'P&amp;L'!R33+'P&amp;L'!R34+'P&amp;L'!R35</f>
        <v>18743.666666666664</v>
      </c>
      <c r="S178" s="44">
        <f>'Sales and COGS Forecasts'!S457+'Sales and COGS Forecasts'!S463+'P&amp;L'!S22+'P&amp;L'!S23+'P&amp;L'!S24+'P&amp;L'!S25+'P&amp;L'!S26+'P&amp;L'!S27+'P&amp;L'!S28+'P&amp;L'!S29+'P&amp;L'!S30+'P&amp;L'!S31+'P&amp;L'!S32+'P&amp;L'!S33+'P&amp;L'!S34+'P&amp;L'!S35</f>
        <v>18743.666666666664</v>
      </c>
      <c r="T178" s="941">
        <f>S178</f>
        <v>18743.666666666664</v>
      </c>
      <c r="U178" s="44">
        <f>'Sales and COGS Forecasts'!U457+'Sales and COGS Forecasts'!U463+'P&amp;L'!U22+'P&amp;L'!U23+'P&amp;L'!U24+'P&amp;L'!U25+'P&amp;L'!U26+'P&amp;L'!U27+'P&amp;L'!U28+'P&amp;L'!U29+'P&amp;L'!U30+'P&amp;L'!U31+'P&amp;L'!U32+'P&amp;L'!U33+'P&amp;L'!U34+'P&amp;L'!U35</f>
        <v>151300.5</v>
      </c>
      <c r="V178" s="44">
        <f>'Sales and COGS Forecasts'!V457+'Sales and COGS Forecasts'!V463+'P&amp;L'!V22+'P&amp;L'!V23+'P&amp;L'!V24+'P&amp;L'!V25+'P&amp;L'!V26+'P&amp;L'!V27+'P&amp;L'!V28+'P&amp;L'!V29+'P&amp;L'!V30+'P&amp;L'!V31+'P&amp;L'!V32+'P&amp;L'!V33+'P&amp;L'!V34+'P&amp;L'!V35</f>
        <v>167800.50000000003</v>
      </c>
      <c r="W178" s="44">
        <f>'Sales and COGS Forecasts'!W457+'Sales and COGS Forecasts'!W463+'P&amp;L'!W22+'P&amp;L'!W23+'P&amp;L'!W24+'P&amp;L'!W25+'P&amp;L'!W26+'P&amp;L'!W27+'P&amp;L'!W28+'P&amp;L'!W29+'P&amp;L'!W30+'P&amp;L'!W31+'P&amp;L'!W32+'P&amp;L'!W33+'P&amp;L'!W34+'P&amp;L'!W35</f>
        <v>239696.33333333337</v>
      </c>
      <c r="X178" s="44">
        <f>'Sales and COGS Forecasts'!X457+'Sales and COGS Forecasts'!X463+'P&amp;L'!X22+'P&amp;L'!X23+'P&amp;L'!X24+'P&amp;L'!X25+'P&amp;L'!X26+'P&amp;L'!X27+'P&amp;L'!X28+'P&amp;L'!X29+'P&amp;L'!X30+'P&amp;L'!X31+'P&amp;L'!X32+'P&amp;L'!X33+'P&amp;L'!X34+'P&amp;L'!X35</f>
        <v>273258.83333333331</v>
      </c>
      <c r="Y178" s="44">
        <f>'Sales and COGS Forecasts'!Y457+'Sales and COGS Forecasts'!Y463+'P&amp;L'!Y22+'P&amp;L'!Y23+'P&amp;L'!Y24+'P&amp;L'!Y25+'P&amp;L'!Y26+'P&amp;L'!Y27+'P&amp;L'!Y28+'P&amp;L'!Y29+'P&amp;L'!Y30+'P&amp;L'!Y31+'P&amp;L'!Y32+'P&amp;L'!Y33+'P&amp;L'!Y34+'P&amp;L'!Y35</f>
        <v>301654.66666666663</v>
      </c>
      <c r="Z178" s="44">
        <f>'Sales and COGS Forecasts'!Z457+'Sales and COGS Forecasts'!Z463+'P&amp;L'!Z22+'P&amp;L'!Z23+'P&amp;L'!Z24+'P&amp;L'!Z25+'P&amp;L'!Z26+'P&amp;L'!Z27+'P&amp;L'!Z28+'P&amp;L'!Z29+'P&amp;L'!Z30+'P&amp;L'!Z31+'P&amp;L'!Z32+'P&amp;L'!Z33+'P&amp;L'!Z34+'P&amp;L'!Z35</f>
        <v>308217.16666666663</v>
      </c>
      <c r="AA178" s="44">
        <f>'Sales and COGS Forecasts'!AA457+'Sales and COGS Forecasts'!AA463+'P&amp;L'!AA22+'P&amp;L'!AA23+'P&amp;L'!AA24+'P&amp;L'!AA25+'P&amp;L'!AA26+'P&amp;L'!AA27+'P&amp;L'!AA28+'P&amp;L'!AA29+'P&amp;L'!AA30+'P&amp;L'!AA31+'P&amp;L'!AA32+'P&amp;L'!AA33+'P&amp;L'!AA34+'P&amp;L'!AA35</f>
        <v>581781.66666666674</v>
      </c>
      <c r="AB178" s="44">
        <f>'Sales and COGS Forecasts'!AB457+'Sales and COGS Forecasts'!AB463+'P&amp;L'!AB22+'P&amp;L'!AB23+'P&amp;L'!AB24+'P&amp;L'!AB25+'P&amp;L'!AB26+'P&amp;L'!AB27+'P&amp;L'!AB28+'P&amp;L'!AB29+'P&amp;L'!AB30+'P&amp;L'!AB31+'P&amp;L'!AB32+'P&amp;L'!AB33+'P&amp;L'!AB34+'P&amp;L'!AB35</f>
        <v>323342.16666666663</v>
      </c>
      <c r="AC178" s="44">
        <f>'Sales and COGS Forecasts'!AC457+'Sales and COGS Forecasts'!AC463+'P&amp;L'!AC22+'P&amp;L'!AC23+'P&amp;L'!AC24+'P&amp;L'!AC25+'P&amp;L'!AC26+'P&amp;L'!AC27+'P&amp;L'!AC28+'P&amp;L'!AC29+'P&amp;L'!AC30+'P&amp;L'!AC31+'P&amp;L'!AC32+'P&amp;L'!AC33+'P&amp;L'!AC34+'P&amp;L'!AC35</f>
        <v>329904.66666666663</v>
      </c>
      <c r="AD178" s="44">
        <f>'Sales and COGS Forecasts'!AD457+'Sales and COGS Forecasts'!AD463+'P&amp;L'!AD22+'P&amp;L'!AD23+'P&amp;L'!AD24+'P&amp;L'!AD25+'P&amp;L'!AD26+'P&amp;L'!AD27+'P&amp;L'!AD28+'P&amp;L'!AD29+'P&amp;L'!AD30+'P&amp;L'!AD31+'P&amp;L'!AD32+'P&amp;L'!AD33+'P&amp;L'!AD34+'P&amp;L'!AD35</f>
        <v>336467.16666666663</v>
      </c>
      <c r="AE178" s="44">
        <f>'Sales and COGS Forecasts'!AE457+'Sales and COGS Forecasts'!AE463+'P&amp;L'!AE22+'P&amp;L'!AE23+'P&amp;L'!AE24+'P&amp;L'!AE25+'P&amp;L'!AE26+'P&amp;L'!AE27+'P&amp;L'!AE28+'P&amp;L'!AE29+'P&amp;L'!AE30+'P&amp;L'!AE31+'P&amp;L'!AE32+'P&amp;L'!AE33+'P&amp;L'!AE34+'P&amp;L'!AE35</f>
        <v>343029.66666666663</v>
      </c>
      <c r="AF178" s="44">
        <f>'Sales and COGS Forecasts'!AF457+'Sales and COGS Forecasts'!AF463+'P&amp;L'!AF22+'P&amp;L'!AF23+'P&amp;L'!AF24+'P&amp;L'!AF25+'P&amp;L'!AF26+'P&amp;L'!AF27+'P&amp;L'!AF28+'P&amp;L'!AF29+'P&amp;L'!AF30+'P&amp;L'!AF31+'P&amp;L'!AF32+'P&amp;L'!AF33+'P&amp;L'!AF34+'P&amp;L'!AF35</f>
        <v>349592.16666666663</v>
      </c>
      <c r="AG178" s="941">
        <f>AF178</f>
        <v>349592.16666666663</v>
      </c>
      <c r="AH178" s="1039">
        <f>'Sales and COGS Forecasts'!AH457+'Sales and COGS Forecasts'!AH463+'P&amp;L'!AH22+'P&amp;L'!AH23+'P&amp;L'!AH24+'P&amp;L'!AH25+'P&amp;L'!AH26+'P&amp;L'!AH27+'P&amp;L'!AH28+'P&amp;L'!AH29+'P&amp;L'!AH30+'P&amp;L'!AH31+'P&amp;L'!AH32+'P&amp;L'!AH33+'P&amp;L'!AH34+'P&amp;L'!AH35</f>
        <v>11436574.5625</v>
      </c>
      <c r="AI178" s="1039">
        <f>'Sales and COGS Forecasts'!AI457+'Sales and COGS Forecasts'!AI463+'P&amp;L'!AI22+'P&amp;L'!AI23+'P&amp;L'!AI24+'P&amp;L'!AI25+'P&amp;L'!AI26+'P&amp;L'!AI27+'P&amp;L'!AI28+'P&amp;L'!AI29+'P&amp;L'!AI30+'P&amp;L'!AI31+'P&amp;L'!AI32+'P&amp;L'!AI33+'P&amp;L'!AI34+'P&amp;L'!AI35</f>
        <v>20923192.13775</v>
      </c>
      <c r="AJ178" s="1039">
        <f>'Sales and COGS Forecasts'!AJ457+'Sales and COGS Forecasts'!AJ463+'P&amp;L'!AJ22+'P&amp;L'!AJ23+'P&amp;L'!AJ24+'P&amp;L'!AJ25+'P&amp;L'!AJ26+'P&amp;L'!AJ27+'P&amp;L'!AJ28+'P&amp;L'!AJ29+'P&amp;L'!AJ30+'P&amp;L'!AJ31+'P&amp;L'!AJ32+'P&amp;L'!AJ33+'P&amp;L'!AJ34+'P&amp;L'!AJ35</f>
        <v>34752818.730073765</v>
      </c>
      <c r="AK178" s="1039">
        <f>'Sales and COGS Forecasts'!AK457+'Sales and COGS Forecasts'!AK463+'P&amp;L'!AK22+'P&amp;L'!AK23+'P&amp;L'!AK24+'P&amp;L'!AK25+'P&amp;L'!AK26+'P&amp;L'!AK27+'P&amp;L'!AK28+'P&amp;L'!AK29+'P&amp;L'!AK30+'P&amp;L'!AK31+'P&amp;L'!AK32+'P&amp;L'!AK33+'P&amp;L'!AK34+'P&amp;L'!AK35</f>
        <v>52730825.157682724</v>
      </c>
      <c r="AL178" s="1039">
        <f>'Sales and COGS Forecasts'!AL457+'Sales and COGS Forecasts'!AL463+'P&amp;L'!AL22+'P&amp;L'!AL23+'P&amp;L'!AL24+'P&amp;L'!AL25+'P&amp;L'!AL26+'P&amp;L'!AL27+'P&amp;L'!AL28+'P&amp;L'!AL29+'P&amp;L'!AL30+'P&amp;L'!AL31+'P&amp;L'!AL32+'P&amp;L'!AL33+'P&amp;L'!AL34+'P&amp;L'!AL35</f>
        <v>68789930.136846781</v>
      </c>
      <c r="AM178" s="1039">
        <f>'Sales and COGS Forecasts'!AM457+'Sales and COGS Forecasts'!AM463+'P&amp;L'!AM22+'P&amp;L'!AM23+'P&amp;L'!AM24+'P&amp;L'!AM25+'P&amp;L'!AM26+'P&amp;L'!AM27+'P&amp;L'!AM28+'P&amp;L'!AM29+'P&amp;L'!AM30+'P&amp;L'!AM31+'P&amp;L'!AM32+'P&amp;L'!AM33+'P&amp;L'!AM34+'P&amp;L'!AM35</f>
        <v>80792731.644733712</v>
      </c>
      <c r="AN178" s="1039">
        <f>'Sales and COGS Forecasts'!AN457+'Sales and COGS Forecasts'!AN463+'P&amp;L'!AN22+'P&amp;L'!AN23+'P&amp;L'!AN24+'P&amp;L'!AN25+'P&amp;L'!AN26+'P&amp;L'!AN27+'P&amp;L'!AN28+'P&amp;L'!AN29+'P&amp;L'!AN30+'P&amp;L'!AN31+'P&amp;L'!AN32+'P&amp;L'!AN33+'P&amp;L'!AN34+'P&amp;L'!AN35</f>
        <v>92233236.237093821</v>
      </c>
      <c r="AO178" s="1039">
        <f>'Sales and COGS Forecasts'!AO457+'Sales and COGS Forecasts'!AO463+'P&amp;L'!AO22+'P&amp;L'!AO23+'P&amp;L'!AO24+'P&amp;L'!AO25+'P&amp;L'!AO26+'P&amp;L'!AO27+'P&amp;L'!AO28+'P&amp;L'!AO29+'P&amp;L'!AO30+'P&amp;L'!AO31+'P&amp;L'!AO32+'P&amp;L'!AO33+'P&amp;L'!AO34+'P&amp;L'!AO35</f>
        <v>103710847.55394675</v>
      </c>
    </row>
    <row r="179" spans="1:41" x14ac:dyDescent="0.2">
      <c r="A179" s="735" t="s">
        <v>292</v>
      </c>
      <c r="B179" s="735"/>
      <c r="C179" s="737">
        <f t="shared" ref="C179:F179" si="216">C178*C177/30</f>
        <v>0</v>
      </c>
      <c r="D179" s="737">
        <f t="shared" si="216"/>
        <v>52300</v>
      </c>
      <c r="E179" s="737">
        <f t="shared" si="216"/>
        <v>0</v>
      </c>
      <c r="F179" s="737">
        <f t="shared" si="216"/>
        <v>0</v>
      </c>
      <c r="G179" s="940">
        <f>G178*G177/360</f>
        <v>4358.333333333333</v>
      </c>
      <c r="H179" s="737">
        <f>H178*H177/30</f>
        <v>222043.66666666666</v>
      </c>
      <c r="I179" s="737">
        <f t="shared" ref="I179:M179" si="217">I178*I177/30</f>
        <v>183041.66666666666</v>
      </c>
      <c r="J179" s="737">
        <f t="shared" si="217"/>
        <v>159041.66666666666</v>
      </c>
      <c r="K179" s="737">
        <f t="shared" si="217"/>
        <v>15041.666666666666</v>
      </c>
      <c r="L179" s="737">
        <f t="shared" si="217"/>
        <v>10041.666666666668</v>
      </c>
      <c r="M179" s="737">
        <f t="shared" si="217"/>
        <v>10041.666666666668</v>
      </c>
      <c r="N179" s="737">
        <f t="shared" ref="N179:S179" si="218">N178*N177/30</f>
        <v>11541.666666666666</v>
      </c>
      <c r="O179" s="737">
        <f t="shared" si="218"/>
        <v>11541.666666666666</v>
      </c>
      <c r="P179" s="737">
        <f t="shared" si="218"/>
        <v>11541.666666666666</v>
      </c>
      <c r="Q179" s="737">
        <f t="shared" si="218"/>
        <v>14243.666666666666</v>
      </c>
      <c r="R179" s="737">
        <f t="shared" si="218"/>
        <v>18743.666666666664</v>
      </c>
      <c r="S179" s="737">
        <f t="shared" si="218"/>
        <v>18743.666666666664</v>
      </c>
      <c r="T179" s="940">
        <f>S179</f>
        <v>18743.666666666664</v>
      </c>
      <c r="U179" s="737">
        <f>U178*U177/30</f>
        <v>151300.5</v>
      </c>
      <c r="V179" s="737">
        <f t="shared" ref="V179:AD179" si="219">V178*V177/30</f>
        <v>167800.50000000003</v>
      </c>
      <c r="W179" s="737">
        <f t="shared" si="219"/>
        <v>239696.33333333337</v>
      </c>
      <c r="X179" s="737">
        <f t="shared" si="219"/>
        <v>273258.83333333331</v>
      </c>
      <c r="Y179" s="737">
        <f t="shared" si="219"/>
        <v>301654.66666666663</v>
      </c>
      <c r="Z179" s="737">
        <f t="shared" si="219"/>
        <v>308217.16666666663</v>
      </c>
      <c r="AA179" s="737">
        <f t="shared" si="219"/>
        <v>581781.66666666674</v>
      </c>
      <c r="AB179" s="737">
        <f t="shared" si="219"/>
        <v>323342.16666666663</v>
      </c>
      <c r="AC179" s="737">
        <f t="shared" si="219"/>
        <v>329904.66666666663</v>
      </c>
      <c r="AD179" s="737">
        <f t="shared" si="219"/>
        <v>336467.16666666663</v>
      </c>
      <c r="AE179" s="737">
        <f>AE178*AE177/30</f>
        <v>343029.66666666663</v>
      </c>
      <c r="AF179" s="737">
        <f>AG179</f>
        <v>29132.680555555551</v>
      </c>
      <c r="AG179" s="940">
        <f>AG178*AG177/360</f>
        <v>29132.680555555551</v>
      </c>
      <c r="AH179" s="940">
        <f t="shared" ref="AH179:AO179" si="220">AH178*AH177/360</f>
        <v>953047.88020833337</v>
      </c>
      <c r="AI179" s="940">
        <f t="shared" si="220"/>
        <v>1743599.3448124998</v>
      </c>
      <c r="AJ179" s="940">
        <f t="shared" si="220"/>
        <v>2896068.2275061472</v>
      </c>
      <c r="AK179" s="940">
        <f t="shared" si="220"/>
        <v>4394235.4298068937</v>
      </c>
      <c r="AL179" s="940">
        <f t="shared" si="220"/>
        <v>5732494.1780705648</v>
      </c>
      <c r="AM179" s="940">
        <f t="shared" si="220"/>
        <v>6732727.6370611433</v>
      </c>
      <c r="AN179" s="940">
        <f t="shared" si="220"/>
        <v>7686103.0197578175</v>
      </c>
      <c r="AO179" s="940">
        <f t="shared" si="220"/>
        <v>8642570.629495563</v>
      </c>
    </row>
    <row r="180" spans="1:41" x14ac:dyDescent="0.2">
      <c r="A180" s="1"/>
      <c r="B180" s="1"/>
      <c r="C180" s="1"/>
      <c r="D180" s="1"/>
      <c r="E180" s="1"/>
      <c r="F180" s="1"/>
      <c r="G180" s="26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6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268"/>
      <c r="AH180" s="268"/>
      <c r="AI180" s="268"/>
      <c r="AJ180" s="268"/>
      <c r="AK180" s="268"/>
      <c r="AL180" s="268"/>
      <c r="AM180" s="268"/>
      <c r="AN180" s="268"/>
      <c r="AO180" s="268"/>
    </row>
    <row r="181" spans="1:41" x14ac:dyDescent="0.2">
      <c r="A181" s="1" t="s">
        <v>293</v>
      </c>
      <c r="B181" s="1"/>
      <c r="C181" s="258">
        <f t="shared" ref="C181:F181" si="221">D181</f>
        <v>15</v>
      </c>
      <c r="D181" s="258">
        <f t="shared" si="221"/>
        <v>15</v>
      </c>
      <c r="E181" s="258">
        <f t="shared" si="221"/>
        <v>15</v>
      </c>
      <c r="F181" s="258">
        <f t="shared" si="221"/>
        <v>15</v>
      </c>
      <c r="G181" s="946">
        <v>15</v>
      </c>
      <c r="H181" s="258">
        <f>$T181</f>
        <v>15</v>
      </c>
      <c r="I181" s="258">
        <f t="shared" ref="I181:S181" si="222">$T181</f>
        <v>15</v>
      </c>
      <c r="J181" s="258">
        <f t="shared" si="222"/>
        <v>15</v>
      </c>
      <c r="K181" s="258">
        <f t="shared" si="222"/>
        <v>15</v>
      </c>
      <c r="L181" s="258">
        <f t="shared" si="222"/>
        <v>15</v>
      </c>
      <c r="M181" s="258">
        <f t="shared" si="222"/>
        <v>15</v>
      </c>
      <c r="N181" s="258">
        <f t="shared" si="222"/>
        <v>15</v>
      </c>
      <c r="O181" s="258">
        <f t="shared" si="222"/>
        <v>15</v>
      </c>
      <c r="P181" s="258">
        <f t="shared" si="222"/>
        <v>15</v>
      </c>
      <c r="Q181" s="258">
        <f t="shared" si="222"/>
        <v>15</v>
      </c>
      <c r="R181" s="258">
        <f t="shared" si="222"/>
        <v>15</v>
      </c>
      <c r="S181" s="258">
        <f t="shared" si="222"/>
        <v>15</v>
      </c>
      <c r="T181" s="946">
        <v>15</v>
      </c>
      <c r="U181" s="258">
        <f>$AG181</f>
        <v>15</v>
      </c>
      <c r="V181" s="258">
        <f t="shared" ref="V181:AF181" si="223">$AG181</f>
        <v>15</v>
      </c>
      <c r="W181" s="258">
        <f t="shared" si="223"/>
        <v>15</v>
      </c>
      <c r="X181" s="258">
        <f t="shared" si="223"/>
        <v>15</v>
      </c>
      <c r="Y181" s="258">
        <f t="shared" si="223"/>
        <v>15</v>
      </c>
      <c r="Z181" s="258">
        <f t="shared" si="223"/>
        <v>15</v>
      </c>
      <c r="AA181" s="258">
        <f t="shared" si="223"/>
        <v>15</v>
      </c>
      <c r="AB181" s="258">
        <f t="shared" si="223"/>
        <v>15</v>
      </c>
      <c r="AC181" s="258">
        <f t="shared" si="223"/>
        <v>15</v>
      </c>
      <c r="AD181" s="258">
        <f t="shared" si="223"/>
        <v>15</v>
      </c>
      <c r="AE181" s="258">
        <f t="shared" si="223"/>
        <v>15</v>
      </c>
      <c r="AF181" s="258">
        <f t="shared" si="223"/>
        <v>15</v>
      </c>
      <c r="AG181" s="946">
        <f>T181</f>
        <v>15</v>
      </c>
      <c r="AH181" s="946">
        <f>AG181</f>
        <v>15</v>
      </c>
      <c r="AI181" s="946">
        <f>AH181</f>
        <v>15</v>
      </c>
      <c r="AJ181" s="946">
        <f t="shared" ref="AJ181:AO181" si="224">AI181</f>
        <v>15</v>
      </c>
      <c r="AK181" s="946">
        <f t="shared" si="224"/>
        <v>15</v>
      </c>
      <c r="AL181" s="946">
        <f t="shared" si="224"/>
        <v>15</v>
      </c>
      <c r="AM181" s="946">
        <f t="shared" si="224"/>
        <v>15</v>
      </c>
      <c r="AN181" s="946">
        <f t="shared" si="224"/>
        <v>15</v>
      </c>
      <c r="AO181" s="946">
        <f t="shared" si="224"/>
        <v>15</v>
      </c>
    </row>
    <row r="182" spans="1:41" x14ac:dyDescent="0.2">
      <c r="A182" s="1" t="s">
        <v>273</v>
      </c>
      <c r="B182" s="1"/>
      <c r="C182" s="255">
        <f t="shared" ref="C182:F182" si="225">C174</f>
        <v>0</v>
      </c>
      <c r="D182" s="255">
        <f t="shared" si="225"/>
        <v>0</v>
      </c>
      <c r="E182" s="255">
        <f t="shared" si="225"/>
        <v>0</v>
      </c>
      <c r="F182" s="255">
        <f t="shared" si="225"/>
        <v>0</v>
      </c>
      <c r="G182" s="941">
        <f>SUM(C182:F182)</f>
        <v>0</v>
      </c>
      <c r="H182" s="255">
        <f t="shared" ref="H182:AO182" si="226">H174</f>
        <v>0</v>
      </c>
      <c r="I182" s="255">
        <f t="shared" si="226"/>
        <v>0</v>
      </c>
      <c r="J182" s="255">
        <f t="shared" si="226"/>
        <v>0</v>
      </c>
      <c r="K182" s="255">
        <f t="shared" si="226"/>
        <v>0</v>
      </c>
      <c r="L182" s="255">
        <f t="shared" si="226"/>
        <v>0</v>
      </c>
      <c r="M182" s="255">
        <f t="shared" si="226"/>
        <v>0</v>
      </c>
      <c r="N182" s="255">
        <f t="shared" si="226"/>
        <v>0</v>
      </c>
      <c r="O182" s="255">
        <f t="shared" si="226"/>
        <v>0</v>
      </c>
      <c r="P182" s="255">
        <f t="shared" si="226"/>
        <v>0</v>
      </c>
      <c r="Q182" s="255">
        <f t="shared" si="226"/>
        <v>0</v>
      </c>
      <c r="R182" s="255">
        <f t="shared" si="226"/>
        <v>0</v>
      </c>
      <c r="S182" s="255">
        <f t="shared" si="226"/>
        <v>0</v>
      </c>
      <c r="T182" s="941">
        <f t="shared" si="226"/>
        <v>0</v>
      </c>
      <c r="U182" s="255">
        <f t="shared" si="226"/>
        <v>0</v>
      </c>
      <c r="V182" s="255">
        <f t="shared" si="226"/>
        <v>0</v>
      </c>
      <c r="W182" s="255">
        <f t="shared" si="226"/>
        <v>578437.50000000012</v>
      </c>
      <c r="X182" s="255">
        <f t="shared" si="226"/>
        <v>706875</v>
      </c>
      <c r="Y182" s="255">
        <f t="shared" si="226"/>
        <v>820312.5</v>
      </c>
      <c r="Z182" s="255">
        <f t="shared" si="226"/>
        <v>918750</v>
      </c>
      <c r="AA182" s="255">
        <f t="shared" si="226"/>
        <v>1017187.5</v>
      </c>
      <c r="AB182" s="255">
        <f t="shared" si="226"/>
        <v>1115625</v>
      </c>
      <c r="AC182" s="255">
        <f t="shared" si="226"/>
        <v>1214062.5</v>
      </c>
      <c r="AD182" s="255">
        <f t="shared" si="226"/>
        <v>1312500</v>
      </c>
      <c r="AE182" s="255">
        <f t="shared" si="226"/>
        <v>1410937.5</v>
      </c>
      <c r="AF182" s="255">
        <f t="shared" si="226"/>
        <v>1509375</v>
      </c>
      <c r="AG182" s="941">
        <f t="shared" si="226"/>
        <v>10604062.5</v>
      </c>
      <c r="AH182" s="941">
        <f t="shared" si="226"/>
        <v>32333381.249999996</v>
      </c>
      <c r="AI182" s="941">
        <f t="shared" si="226"/>
        <v>61733910.434999995</v>
      </c>
      <c r="AJ182" s="941">
        <f t="shared" si="226"/>
        <v>104580761.18707497</v>
      </c>
      <c r="AK182" s="941">
        <f t="shared" si="226"/>
        <v>160725420.05386654</v>
      </c>
      <c r="AL182" s="941">
        <f t="shared" si="226"/>
        <v>210658144.65336478</v>
      </c>
      <c r="AM182" s="941">
        <f t="shared" si="226"/>
        <v>247591562.33242396</v>
      </c>
      <c r="AN182" s="941">
        <f t="shared" si="226"/>
        <v>282525091.72696775</v>
      </c>
      <c r="AO182" s="941">
        <f t="shared" si="226"/>
        <v>317267219.53468227</v>
      </c>
    </row>
    <row r="183" spans="1:41" x14ac:dyDescent="0.2">
      <c r="A183" s="735" t="s">
        <v>225</v>
      </c>
      <c r="B183" s="735"/>
      <c r="C183" s="736">
        <f t="shared" ref="C183:F183" si="227">C182*C181/30</f>
        <v>0</v>
      </c>
      <c r="D183" s="736">
        <f t="shared" si="227"/>
        <v>0</v>
      </c>
      <c r="E183" s="736">
        <f t="shared" si="227"/>
        <v>0</v>
      </c>
      <c r="F183" s="736">
        <f t="shared" si="227"/>
        <v>0</v>
      </c>
      <c r="G183" s="947">
        <f>SUM(C183:F183)</f>
        <v>0</v>
      </c>
      <c r="H183" s="736">
        <f>H182*H181/30</f>
        <v>0</v>
      </c>
      <c r="I183" s="736">
        <f t="shared" ref="I183:M183" si="228">I182*I181/30</f>
        <v>0</v>
      </c>
      <c r="J183" s="736">
        <f t="shared" si="228"/>
        <v>0</v>
      </c>
      <c r="K183" s="736">
        <f t="shared" si="228"/>
        <v>0</v>
      </c>
      <c r="L183" s="736">
        <f t="shared" si="228"/>
        <v>0</v>
      </c>
      <c r="M183" s="736">
        <f t="shared" si="228"/>
        <v>0</v>
      </c>
      <c r="N183" s="736">
        <f>N182*N181/30</f>
        <v>0</v>
      </c>
      <c r="O183" s="736">
        <f>O182*O181/30</f>
        <v>0</v>
      </c>
      <c r="P183" s="736">
        <f>P182*P181/30</f>
        <v>0</v>
      </c>
      <c r="Q183" s="736">
        <f>Q182*Q181/30</f>
        <v>0</v>
      </c>
      <c r="R183" s="736">
        <f>R182*R181/30</f>
        <v>0</v>
      </c>
      <c r="S183" s="736">
        <f>T183</f>
        <v>0</v>
      </c>
      <c r="T183" s="940">
        <f>T182*T181/360</f>
        <v>0</v>
      </c>
      <c r="U183" s="736">
        <f t="shared" ref="U183:AE183" si="229">U182*U181/30</f>
        <v>0</v>
      </c>
      <c r="V183" s="736">
        <f>V182*V181/30</f>
        <v>0</v>
      </c>
      <c r="W183" s="736">
        <f t="shared" si="229"/>
        <v>289218.75000000006</v>
      </c>
      <c r="X183" s="736">
        <f t="shared" si="229"/>
        <v>353437.5</v>
      </c>
      <c r="Y183" s="736">
        <f t="shared" si="229"/>
        <v>410156.25</v>
      </c>
      <c r="Z183" s="736">
        <f t="shared" si="229"/>
        <v>459375</v>
      </c>
      <c r="AA183" s="736">
        <f t="shared" si="229"/>
        <v>508593.75</v>
      </c>
      <c r="AB183" s="736">
        <f t="shared" si="229"/>
        <v>557812.5</v>
      </c>
      <c r="AC183" s="736">
        <f t="shared" si="229"/>
        <v>607031.25</v>
      </c>
      <c r="AD183" s="736">
        <f t="shared" si="229"/>
        <v>656250</v>
      </c>
      <c r="AE183" s="736">
        <f t="shared" si="229"/>
        <v>705468.75</v>
      </c>
      <c r="AF183" s="736">
        <f>AG183</f>
        <v>441835.9375</v>
      </c>
      <c r="AG183" s="940">
        <f t="shared" ref="AG183:AO183" si="230">AG182*AG181/360</f>
        <v>441835.9375</v>
      </c>
      <c r="AH183" s="940">
        <f t="shared" si="230"/>
        <v>1347224.2187499998</v>
      </c>
      <c r="AI183" s="940">
        <f t="shared" si="230"/>
        <v>2572246.2681249999</v>
      </c>
      <c r="AJ183" s="940">
        <f t="shared" si="230"/>
        <v>4357531.7161281239</v>
      </c>
      <c r="AK183" s="940">
        <f t="shared" si="230"/>
        <v>6696892.502244439</v>
      </c>
      <c r="AL183" s="940">
        <f t="shared" si="230"/>
        <v>8777422.6938901991</v>
      </c>
      <c r="AM183" s="940">
        <f t="shared" si="230"/>
        <v>10316315.09718433</v>
      </c>
      <c r="AN183" s="940">
        <f t="shared" si="230"/>
        <v>11771878.82195699</v>
      </c>
      <c r="AO183" s="940">
        <f t="shared" si="230"/>
        <v>13219467.480611762</v>
      </c>
    </row>
    <row r="184" spans="1:41" x14ac:dyDescent="0.2">
      <c r="A184" s="1"/>
      <c r="B184" s="1"/>
      <c r="C184" s="1"/>
      <c r="D184" s="1"/>
      <c r="E184" s="1"/>
      <c r="F184" s="1"/>
      <c r="G184" s="26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6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268"/>
      <c r="AH184" s="268"/>
      <c r="AI184" s="268"/>
      <c r="AJ184" s="268"/>
      <c r="AK184" s="268"/>
      <c r="AL184" s="268"/>
      <c r="AM184" s="268"/>
      <c r="AN184" s="268"/>
      <c r="AO184" s="268"/>
    </row>
    <row r="185" spans="1:41" x14ac:dyDescent="0.2">
      <c r="A185" s="1"/>
      <c r="B185" s="1"/>
      <c r="C185" s="1"/>
      <c r="D185" s="1"/>
      <c r="E185" s="1"/>
      <c r="F185" s="1"/>
      <c r="G185" s="26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6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268"/>
      <c r="AH185" s="268"/>
      <c r="AI185" s="268"/>
      <c r="AJ185" s="268"/>
      <c r="AK185" s="268"/>
      <c r="AL185" s="268"/>
      <c r="AM185" s="268"/>
      <c r="AN185" s="268"/>
      <c r="AO185" s="268"/>
    </row>
    <row r="186" spans="1:41" x14ac:dyDescent="0.2">
      <c r="A186" s="436" t="s">
        <v>466</v>
      </c>
      <c r="B186" s="1"/>
      <c r="C186" s="1"/>
      <c r="D186" s="1"/>
      <c r="E186" s="1"/>
      <c r="F186" s="1"/>
      <c r="G186" s="26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6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268"/>
      <c r="AH186" s="268"/>
      <c r="AI186" s="268"/>
      <c r="AJ186" s="268"/>
      <c r="AK186" s="268"/>
      <c r="AL186" s="268"/>
      <c r="AM186" s="268"/>
      <c r="AN186" s="268"/>
      <c r="AO186" s="268"/>
    </row>
    <row r="187" spans="1:41" x14ac:dyDescent="0.2">
      <c r="A187" s="1"/>
      <c r="B187" s="1"/>
      <c r="C187" s="1"/>
      <c r="D187" s="1"/>
      <c r="E187" s="1"/>
      <c r="F187" s="1"/>
      <c r="G187" s="26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6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268"/>
      <c r="AH187" s="268"/>
      <c r="AI187" s="268"/>
      <c r="AJ187" s="268"/>
      <c r="AK187" s="268"/>
      <c r="AL187" s="268"/>
      <c r="AM187" s="268"/>
      <c r="AN187" s="268"/>
      <c r="AO187" s="268"/>
    </row>
    <row r="188" spans="1:41" x14ac:dyDescent="0.2">
      <c r="A188" s="1" t="s">
        <v>467</v>
      </c>
      <c r="B188" s="1"/>
      <c r="C188" s="798">
        <v>1000</v>
      </c>
      <c r="D188" s="798">
        <v>1000</v>
      </c>
      <c r="E188" s="798">
        <v>1000</v>
      </c>
      <c r="F188" s="798">
        <v>1000</v>
      </c>
      <c r="G188" s="934">
        <v>1000</v>
      </c>
      <c r="H188" s="798">
        <v>1000</v>
      </c>
      <c r="I188" s="798">
        <v>1000</v>
      </c>
      <c r="J188" s="798">
        <v>1000</v>
      </c>
      <c r="K188" s="798">
        <v>1000</v>
      </c>
      <c r="L188" s="798">
        <v>1000</v>
      </c>
      <c r="M188" s="798">
        <v>1000</v>
      </c>
      <c r="N188" s="798">
        <v>1000</v>
      </c>
      <c r="O188" s="255">
        <f t="shared" ref="O188:AO188" si="231">N188</f>
        <v>1000</v>
      </c>
      <c r="P188" s="255">
        <f t="shared" si="231"/>
        <v>1000</v>
      </c>
      <c r="Q188" s="255">
        <f t="shared" si="231"/>
        <v>1000</v>
      </c>
      <c r="R188" s="255">
        <f t="shared" si="231"/>
        <v>1000</v>
      </c>
      <c r="S188" s="255">
        <f t="shared" si="231"/>
        <v>1000</v>
      </c>
      <c r="T188" s="941">
        <f t="shared" si="231"/>
        <v>1000</v>
      </c>
      <c r="U188" s="255">
        <f t="shared" si="231"/>
        <v>1000</v>
      </c>
      <c r="V188" s="255">
        <f t="shared" si="231"/>
        <v>1000</v>
      </c>
      <c r="W188" s="255">
        <f t="shared" si="231"/>
        <v>1000</v>
      </c>
      <c r="X188" s="255">
        <f t="shared" si="231"/>
        <v>1000</v>
      </c>
      <c r="Y188" s="255">
        <f t="shared" si="231"/>
        <v>1000</v>
      </c>
      <c r="Z188" s="255">
        <f t="shared" si="231"/>
        <v>1000</v>
      </c>
      <c r="AA188" s="255">
        <f t="shared" si="231"/>
        <v>1000</v>
      </c>
      <c r="AB188" s="255">
        <f t="shared" si="231"/>
        <v>1000</v>
      </c>
      <c r="AC188" s="255">
        <f t="shared" si="231"/>
        <v>1000</v>
      </c>
      <c r="AD188" s="255">
        <f t="shared" si="231"/>
        <v>1000</v>
      </c>
      <c r="AE188" s="255">
        <f t="shared" si="231"/>
        <v>1000</v>
      </c>
      <c r="AF188" s="255">
        <f t="shared" si="231"/>
        <v>1000</v>
      </c>
      <c r="AG188" s="941">
        <f t="shared" si="231"/>
        <v>1000</v>
      </c>
      <c r="AH188" s="941">
        <f t="shared" si="231"/>
        <v>1000</v>
      </c>
      <c r="AI188" s="941">
        <f t="shared" si="231"/>
        <v>1000</v>
      </c>
      <c r="AJ188" s="941">
        <f t="shared" si="231"/>
        <v>1000</v>
      </c>
      <c r="AK188" s="941">
        <f t="shared" si="231"/>
        <v>1000</v>
      </c>
      <c r="AL188" s="941">
        <f t="shared" si="231"/>
        <v>1000</v>
      </c>
      <c r="AM188" s="941">
        <f t="shared" si="231"/>
        <v>1000</v>
      </c>
      <c r="AN188" s="941">
        <f t="shared" si="231"/>
        <v>1000</v>
      </c>
      <c r="AO188" s="941">
        <f t="shared" si="231"/>
        <v>1000</v>
      </c>
    </row>
    <row r="189" spans="1:41" x14ac:dyDescent="0.2">
      <c r="A189" s="1" t="s">
        <v>468</v>
      </c>
      <c r="B189" s="1"/>
      <c r="C189" s="1">
        <f>C35-B35</f>
        <v>1</v>
      </c>
      <c r="D189" s="1">
        <f>D35-C35</f>
        <v>0</v>
      </c>
      <c r="E189" s="1">
        <f>E35-D35</f>
        <v>0</v>
      </c>
      <c r="F189" s="1">
        <f>F35-E35</f>
        <v>0</v>
      </c>
      <c r="G189" s="268">
        <f>SUM(C189:F189)</f>
        <v>1</v>
      </c>
      <c r="H189" s="1">
        <f t="shared" ref="H189:S189" si="232">H35-G35</f>
        <v>1</v>
      </c>
      <c r="I189" s="1">
        <f t="shared" si="232"/>
        <v>0</v>
      </c>
      <c r="J189" s="1">
        <f t="shared" si="232"/>
        <v>0</v>
      </c>
      <c r="K189" s="1">
        <f t="shared" si="232"/>
        <v>0</v>
      </c>
      <c r="L189" s="1">
        <f t="shared" si="232"/>
        <v>0</v>
      </c>
      <c r="M189" s="1">
        <f t="shared" si="232"/>
        <v>0</v>
      </c>
      <c r="N189" s="1">
        <f t="shared" si="232"/>
        <v>3</v>
      </c>
      <c r="O189" s="1">
        <f t="shared" si="232"/>
        <v>0</v>
      </c>
      <c r="P189" s="1">
        <f t="shared" si="232"/>
        <v>0</v>
      </c>
      <c r="Q189" s="1">
        <f t="shared" si="232"/>
        <v>0</v>
      </c>
      <c r="R189" s="1">
        <f t="shared" si="232"/>
        <v>0</v>
      </c>
      <c r="S189" s="1">
        <f t="shared" si="232"/>
        <v>0</v>
      </c>
      <c r="T189" s="268">
        <f>T35-B35</f>
        <v>5</v>
      </c>
      <c r="U189" s="1">
        <f t="shared" ref="U189:AF189" si="233">U35-T35</f>
        <v>2</v>
      </c>
      <c r="V189" s="1">
        <f t="shared" si="233"/>
        <v>0</v>
      </c>
      <c r="W189" s="1">
        <f t="shared" si="233"/>
        <v>0</v>
      </c>
      <c r="X189" s="1">
        <f t="shared" si="233"/>
        <v>0</v>
      </c>
      <c r="Y189" s="1">
        <f t="shared" si="233"/>
        <v>0</v>
      </c>
      <c r="Z189" s="1">
        <f t="shared" si="233"/>
        <v>0</v>
      </c>
      <c r="AA189" s="1">
        <f t="shared" si="233"/>
        <v>1</v>
      </c>
      <c r="AB189" s="1">
        <f t="shared" si="233"/>
        <v>0</v>
      </c>
      <c r="AC189" s="1">
        <f t="shared" si="233"/>
        <v>0</v>
      </c>
      <c r="AD189" s="1">
        <f t="shared" si="233"/>
        <v>0</v>
      </c>
      <c r="AE189" s="1">
        <f t="shared" si="233"/>
        <v>0</v>
      </c>
      <c r="AF189" s="1">
        <f t="shared" si="233"/>
        <v>0</v>
      </c>
      <c r="AG189" s="268">
        <f>AG35-T35</f>
        <v>3</v>
      </c>
      <c r="AH189" s="268">
        <f t="shared" ref="AH189:AO189" si="234">AH35-AG35</f>
        <v>4</v>
      </c>
      <c r="AI189" s="268">
        <f t="shared" si="234"/>
        <v>4</v>
      </c>
      <c r="AJ189" s="268">
        <f t="shared" si="234"/>
        <v>4</v>
      </c>
      <c r="AK189" s="268">
        <f t="shared" si="234"/>
        <v>4</v>
      </c>
      <c r="AL189" s="268">
        <f t="shared" si="234"/>
        <v>4</v>
      </c>
      <c r="AM189" s="268">
        <f t="shared" si="234"/>
        <v>4</v>
      </c>
      <c r="AN189" s="268">
        <f t="shared" si="234"/>
        <v>4</v>
      </c>
      <c r="AO189" s="268">
        <f t="shared" si="234"/>
        <v>4</v>
      </c>
    </row>
    <row r="190" spans="1:41" x14ac:dyDescent="0.2">
      <c r="A190" s="735" t="s">
        <v>469</v>
      </c>
      <c r="B190" s="735"/>
      <c r="C190" s="737">
        <f t="shared" ref="C190:F190" si="235">C188*C189</f>
        <v>1000</v>
      </c>
      <c r="D190" s="737">
        <f t="shared" si="235"/>
        <v>0</v>
      </c>
      <c r="E190" s="737">
        <f t="shared" si="235"/>
        <v>0</v>
      </c>
      <c r="F190" s="737">
        <f t="shared" si="235"/>
        <v>0</v>
      </c>
      <c r="G190" s="947">
        <f>SUM(C190:F190)</f>
        <v>1000</v>
      </c>
      <c r="H190" s="737">
        <f t="shared" ref="H190:S190" si="236">H188*H189</f>
        <v>1000</v>
      </c>
      <c r="I190" s="737">
        <f t="shared" si="236"/>
        <v>0</v>
      </c>
      <c r="J190" s="737">
        <f t="shared" si="236"/>
        <v>0</v>
      </c>
      <c r="K190" s="737">
        <f t="shared" si="236"/>
        <v>0</v>
      </c>
      <c r="L190" s="737">
        <f t="shared" si="236"/>
        <v>0</v>
      </c>
      <c r="M190" s="737">
        <f t="shared" si="236"/>
        <v>0</v>
      </c>
      <c r="N190" s="737">
        <f t="shared" si="236"/>
        <v>3000</v>
      </c>
      <c r="O190" s="737">
        <f t="shared" si="236"/>
        <v>0</v>
      </c>
      <c r="P190" s="737">
        <f t="shared" si="236"/>
        <v>0</v>
      </c>
      <c r="Q190" s="737">
        <f t="shared" si="236"/>
        <v>0</v>
      </c>
      <c r="R190" s="737">
        <f t="shared" si="236"/>
        <v>0</v>
      </c>
      <c r="S190" s="737">
        <f t="shared" si="236"/>
        <v>0</v>
      </c>
      <c r="T190" s="940">
        <f>SUM(H190:S190)</f>
        <v>4000</v>
      </c>
      <c r="U190" s="737">
        <f t="shared" ref="U190:AF190" si="237">U188*U189</f>
        <v>2000</v>
      </c>
      <c r="V190" s="737">
        <f t="shared" si="237"/>
        <v>0</v>
      </c>
      <c r="W190" s="737">
        <f t="shared" si="237"/>
        <v>0</v>
      </c>
      <c r="X190" s="737">
        <f t="shared" si="237"/>
        <v>0</v>
      </c>
      <c r="Y190" s="737">
        <f t="shared" si="237"/>
        <v>0</v>
      </c>
      <c r="Z190" s="737">
        <f t="shared" si="237"/>
        <v>0</v>
      </c>
      <c r="AA190" s="737">
        <f t="shared" si="237"/>
        <v>1000</v>
      </c>
      <c r="AB190" s="737">
        <f t="shared" si="237"/>
        <v>0</v>
      </c>
      <c r="AC190" s="737">
        <f t="shared" si="237"/>
        <v>0</v>
      </c>
      <c r="AD190" s="737">
        <f t="shared" si="237"/>
        <v>0</v>
      </c>
      <c r="AE190" s="737">
        <f t="shared" si="237"/>
        <v>0</v>
      </c>
      <c r="AF190" s="737">
        <f t="shared" si="237"/>
        <v>0</v>
      </c>
      <c r="AG190" s="940">
        <f>SUM(U190:AF190)</f>
        <v>3000</v>
      </c>
      <c r="AH190" s="940">
        <f t="shared" ref="AH190:AO190" si="238">AH188*AH189</f>
        <v>4000</v>
      </c>
      <c r="AI190" s="940">
        <f t="shared" si="238"/>
        <v>4000</v>
      </c>
      <c r="AJ190" s="940">
        <f t="shared" si="238"/>
        <v>4000</v>
      </c>
      <c r="AK190" s="940">
        <f t="shared" si="238"/>
        <v>4000</v>
      </c>
      <c r="AL190" s="940">
        <f t="shared" si="238"/>
        <v>4000</v>
      </c>
      <c r="AM190" s="940">
        <f t="shared" si="238"/>
        <v>4000</v>
      </c>
      <c r="AN190" s="940">
        <f t="shared" si="238"/>
        <v>4000</v>
      </c>
      <c r="AO190" s="940">
        <f t="shared" si="238"/>
        <v>4000</v>
      </c>
    </row>
    <row r="191" spans="1:41" x14ac:dyDescent="0.2">
      <c r="A191" s="1"/>
      <c r="B191" s="1"/>
      <c r="C191" s="1"/>
      <c r="D191" s="1"/>
      <c r="E191" s="1"/>
      <c r="F191" s="1"/>
      <c r="G191" s="26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6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268"/>
      <c r="AH191" s="268"/>
      <c r="AI191" s="268"/>
      <c r="AJ191" s="268"/>
      <c r="AK191" s="268"/>
      <c r="AL191" s="268"/>
      <c r="AM191" s="268"/>
      <c r="AN191" s="268"/>
      <c r="AO191" s="268"/>
    </row>
    <row r="192" spans="1:41" x14ac:dyDescent="0.2">
      <c r="A192" s="1" t="s">
        <v>470</v>
      </c>
      <c r="B192" s="832">
        <v>5</v>
      </c>
      <c r="C192" s="864"/>
      <c r="D192" s="864"/>
      <c r="E192" s="864"/>
      <c r="F192" s="864"/>
      <c r="G192" s="964"/>
      <c r="H192" s="3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6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268"/>
      <c r="AH192" s="268"/>
      <c r="AI192" s="268"/>
      <c r="AJ192" s="268"/>
      <c r="AK192" s="268"/>
      <c r="AL192" s="268"/>
      <c r="AM192" s="268"/>
      <c r="AN192" s="268"/>
      <c r="AO192" s="268"/>
    </row>
    <row r="193" spans="1:43" x14ac:dyDescent="0.2">
      <c r="A193" s="1" t="s">
        <v>471</v>
      </c>
      <c r="B193" s="1"/>
      <c r="C193" s="34"/>
      <c r="D193" s="34"/>
      <c r="E193" s="34"/>
      <c r="F193" s="34"/>
      <c r="G193" s="31"/>
      <c r="H193" s="3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6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268"/>
      <c r="AH193" s="268"/>
      <c r="AI193" s="268"/>
      <c r="AJ193" s="268"/>
      <c r="AK193" s="268"/>
      <c r="AL193" s="268"/>
      <c r="AM193" s="268"/>
      <c r="AN193" s="268"/>
      <c r="AO193" s="268"/>
    </row>
    <row r="194" spans="1:43" x14ac:dyDescent="0.2">
      <c r="A194" s="1">
        <v>2012</v>
      </c>
      <c r="C194" s="255">
        <f>$G194/4</f>
        <v>200</v>
      </c>
      <c r="D194" s="255">
        <f t="shared" ref="D194:F194" si="239">$G194/4</f>
        <v>200</v>
      </c>
      <c r="E194" s="255">
        <f t="shared" si="239"/>
        <v>200</v>
      </c>
      <c r="F194" s="255">
        <f t="shared" si="239"/>
        <v>200</v>
      </c>
      <c r="G194" s="941">
        <f>IF(G$2-$B$192&lt;$A195,$T$190/$B$192,0)</f>
        <v>800</v>
      </c>
      <c r="H194" s="255">
        <f>$AG194/12</f>
        <v>66.666666666666671</v>
      </c>
      <c r="I194" s="255">
        <f t="shared" ref="I194:S194" si="240">$AG194/12</f>
        <v>66.666666666666671</v>
      </c>
      <c r="J194" s="255">
        <f t="shared" si="240"/>
        <v>66.666666666666671</v>
      </c>
      <c r="K194" s="255">
        <f t="shared" si="240"/>
        <v>66.666666666666671</v>
      </c>
      <c r="L194" s="255">
        <f t="shared" si="240"/>
        <v>66.666666666666671</v>
      </c>
      <c r="M194" s="255">
        <f t="shared" si="240"/>
        <v>66.666666666666671</v>
      </c>
      <c r="N194" s="255">
        <f t="shared" si="240"/>
        <v>66.666666666666671</v>
      </c>
      <c r="O194" s="255">
        <f t="shared" si="240"/>
        <v>66.666666666666671</v>
      </c>
      <c r="P194" s="255">
        <f t="shared" si="240"/>
        <v>66.666666666666671</v>
      </c>
      <c r="Q194" s="255">
        <f t="shared" si="240"/>
        <v>66.666666666666671</v>
      </c>
      <c r="R194" s="255">
        <f t="shared" si="240"/>
        <v>66.666666666666671</v>
      </c>
      <c r="S194" s="255">
        <f t="shared" si="240"/>
        <v>66.666666666666671</v>
      </c>
      <c r="T194" s="941">
        <f>IF(T$2-$B$192&lt;$A194,$T$190/$B$192,0)</f>
        <v>800</v>
      </c>
      <c r="U194" s="255">
        <f>$AG194/12</f>
        <v>66.666666666666671</v>
      </c>
      <c r="V194" s="255">
        <f t="shared" ref="V194:AF194" si="241">$AG194/12</f>
        <v>66.666666666666671</v>
      </c>
      <c r="W194" s="255">
        <f t="shared" si="241"/>
        <v>66.666666666666671</v>
      </c>
      <c r="X194" s="255">
        <f t="shared" si="241"/>
        <v>66.666666666666671</v>
      </c>
      <c r="Y194" s="255">
        <f t="shared" si="241"/>
        <v>66.666666666666671</v>
      </c>
      <c r="Z194" s="255">
        <f t="shared" si="241"/>
        <v>66.666666666666671</v>
      </c>
      <c r="AA194" s="255">
        <f t="shared" si="241"/>
        <v>66.666666666666671</v>
      </c>
      <c r="AB194" s="255">
        <f t="shared" si="241"/>
        <v>66.666666666666671</v>
      </c>
      <c r="AC194" s="255">
        <f t="shared" si="241"/>
        <v>66.666666666666671</v>
      </c>
      <c r="AD194" s="255">
        <f t="shared" si="241"/>
        <v>66.666666666666671</v>
      </c>
      <c r="AE194" s="255">
        <f t="shared" si="241"/>
        <v>66.666666666666671</v>
      </c>
      <c r="AF194" s="255">
        <f t="shared" si="241"/>
        <v>66.666666666666671</v>
      </c>
      <c r="AG194" s="941">
        <f t="shared" ref="AG194:AO195" si="242">IF(AG$2-$B$192&lt;$A194,$T$190/$B$192,0)</f>
        <v>800</v>
      </c>
      <c r="AH194" s="941">
        <f t="shared" si="242"/>
        <v>800</v>
      </c>
      <c r="AI194" s="941">
        <f t="shared" si="242"/>
        <v>800</v>
      </c>
      <c r="AJ194" s="941">
        <f t="shared" si="242"/>
        <v>0</v>
      </c>
      <c r="AK194" s="941">
        <f t="shared" si="242"/>
        <v>0</v>
      </c>
      <c r="AL194" s="941">
        <f t="shared" si="242"/>
        <v>0</v>
      </c>
      <c r="AM194" s="941">
        <f t="shared" si="242"/>
        <v>0</v>
      </c>
      <c r="AN194" s="941">
        <f t="shared" si="242"/>
        <v>0</v>
      </c>
      <c r="AO194" s="941">
        <f t="shared" si="242"/>
        <v>0</v>
      </c>
      <c r="AQ194" s="1015"/>
    </row>
    <row r="195" spans="1:43" x14ac:dyDescent="0.2">
      <c r="A195" s="1">
        <v>2013</v>
      </c>
      <c r="B195" s="1"/>
      <c r="C195" s="255">
        <f>$G195/12</f>
        <v>0</v>
      </c>
      <c r="D195" s="255">
        <f t="shared" ref="D195:F204" si="243">$G195/12</f>
        <v>0</v>
      </c>
      <c r="E195" s="255">
        <f t="shared" si="243"/>
        <v>0</v>
      </c>
      <c r="F195" s="255">
        <f t="shared" si="243"/>
        <v>0</v>
      </c>
      <c r="G195" s="934">
        <v>0</v>
      </c>
      <c r="H195" s="255">
        <f t="shared" ref="H195:S195" si="244">$T$195/12</f>
        <v>66.666666666666671</v>
      </c>
      <c r="I195" s="255">
        <f t="shared" si="244"/>
        <v>66.666666666666671</v>
      </c>
      <c r="J195" s="255">
        <f t="shared" si="244"/>
        <v>66.666666666666671</v>
      </c>
      <c r="K195" s="255">
        <f t="shared" si="244"/>
        <v>66.666666666666671</v>
      </c>
      <c r="L195" s="255">
        <f t="shared" si="244"/>
        <v>66.666666666666671</v>
      </c>
      <c r="M195" s="255">
        <f t="shared" si="244"/>
        <v>66.666666666666671</v>
      </c>
      <c r="N195" s="255">
        <f t="shared" si="244"/>
        <v>66.666666666666671</v>
      </c>
      <c r="O195" s="255">
        <f t="shared" si="244"/>
        <v>66.666666666666671</v>
      </c>
      <c r="P195" s="255">
        <f t="shared" si="244"/>
        <v>66.666666666666671</v>
      </c>
      <c r="Q195" s="255">
        <f t="shared" si="244"/>
        <v>66.666666666666671</v>
      </c>
      <c r="R195" s="255">
        <f t="shared" si="244"/>
        <v>66.666666666666671</v>
      </c>
      <c r="S195" s="255">
        <f t="shared" si="244"/>
        <v>66.666666666666671</v>
      </c>
      <c r="T195" s="941">
        <f>IF(T$2-$B$192&lt;$A195,$T$190/$B$192,0)</f>
        <v>800</v>
      </c>
      <c r="U195" s="255">
        <f t="shared" ref="U195:AF195" si="245">$AG$195/12</f>
        <v>66.666666666666671</v>
      </c>
      <c r="V195" s="255">
        <f t="shared" si="245"/>
        <v>66.666666666666671</v>
      </c>
      <c r="W195" s="255">
        <f t="shared" si="245"/>
        <v>66.666666666666671</v>
      </c>
      <c r="X195" s="255">
        <f t="shared" si="245"/>
        <v>66.666666666666671</v>
      </c>
      <c r="Y195" s="255">
        <f t="shared" si="245"/>
        <v>66.666666666666671</v>
      </c>
      <c r="Z195" s="255">
        <f t="shared" si="245"/>
        <v>66.666666666666671</v>
      </c>
      <c r="AA195" s="255">
        <f t="shared" si="245"/>
        <v>66.666666666666671</v>
      </c>
      <c r="AB195" s="255">
        <f t="shared" si="245"/>
        <v>66.666666666666671</v>
      </c>
      <c r="AC195" s="255">
        <f t="shared" si="245"/>
        <v>66.666666666666671</v>
      </c>
      <c r="AD195" s="255">
        <f t="shared" si="245"/>
        <v>66.666666666666671</v>
      </c>
      <c r="AE195" s="255">
        <f t="shared" si="245"/>
        <v>66.666666666666671</v>
      </c>
      <c r="AF195" s="255">
        <f t="shared" si="245"/>
        <v>66.666666666666671</v>
      </c>
      <c r="AG195" s="941">
        <f t="shared" si="242"/>
        <v>800</v>
      </c>
      <c r="AH195" s="941">
        <f t="shared" si="242"/>
        <v>800</v>
      </c>
      <c r="AI195" s="941">
        <f t="shared" si="242"/>
        <v>800</v>
      </c>
      <c r="AJ195" s="941">
        <f t="shared" si="242"/>
        <v>800</v>
      </c>
      <c r="AK195" s="941">
        <f t="shared" si="242"/>
        <v>0</v>
      </c>
      <c r="AL195" s="941">
        <f t="shared" si="242"/>
        <v>0</v>
      </c>
      <c r="AM195" s="941">
        <f t="shared" si="242"/>
        <v>0</v>
      </c>
      <c r="AN195" s="941">
        <f t="shared" si="242"/>
        <v>0</v>
      </c>
      <c r="AO195" s="941">
        <f t="shared" si="242"/>
        <v>0</v>
      </c>
    </row>
    <row r="196" spans="1:43" x14ac:dyDescent="0.2">
      <c r="A196" s="1">
        <f>A195+1</f>
        <v>2014</v>
      </c>
      <c r="B196" s="1"/>
      <c r="C196" s="255">
        <f t="shared" ref="C196:C204" si="246">$G196/12</f>
        <v>0</v>
      </c>
      <c r="D196" s="255">
        <f t="shared" si="243"/>
        <v>0</v>
      </c>
      <c r="E196" s="255">
        <f t="shared" si="243"/>
        <v>0</v>
      </c>
      <c r="F196" s="255">
        <f t="shared" si="243"/>
        <v>0</v>
      </c>
      <c r="G196" s="934">
        <v>0</v>
      </c>
      <c r="H196" s="255">
        <f t="shared" ref="H196:S204" si="247">$T196/12</f>
        <v>0</v>
      </c>
      <c r="I196" s="255">
        <f t="shared" si="247"/>
        <v>0</v>
      </c>
      <c r="J196" s="255">
        <f t="shared" si="247"/>
        <v>0</v>
      </c>
      <c r="K196" s="255">
        <f t="shared" si="247"/>
        <v>0</v>
      </c>
      <c r="L196" s="255">
        <f t="shared" si="247"/>
        <v>0</v>
      </c>
      <c r="M196" s="255">
        <f t="shared" si="247"/>
        <v>0</v>
      </c>
      <c r="N196" s="255">
        <f t="shared" si="247"/>
        <v>0</v>
      </c>
      <c r="O196" s="255">
        <f t="shared" si="247"/>
        <v>0</v>
      </c>
      <c r="P196" s="255">
        <f t="shared" si="247"/>
        <v>0</v>
      </c>
      <c r="Q196" s="255">
        <f t="shared" si="247"/>
        <v>0</v>
      </c>
      <c r="R196" s="255">
        <f t="shared" si="247"/>
        <v>0</v>
      </c>
      <c r="S196" s="255">
        <f t="shared" si="247"/>
        <v>0</v>
      </c>
      <c r="T196" s="934">
        <v>0</v>
      </c>
      <c r="U196" s="255">
        <f t="shared" ref="U196:AF204" si="248">$AG196/12</f>
        <v>50</v>
      </c>
      <c r="V196" s="255">
        <f t="shared" si="248"/>
        <v>50</v>
      </c>
      <c r="W196" s="255">
        <f t="shared" si="248"/>
        <v>50</v>
      </c>
      <c r="X196" s="255">
        <f t="shared" si="248"/>
        <v>50</v>
      </c>
      <c r="Y196" s="255">
        <f t="shared" si="248"/>
        <v>50</v>
      </c>
      <c r="Z196" s="255">
        <f t="shared" si="248"/>
        <v>50</v>
      </c>
      <c r="AA196" s="255">
        <f t="shared" si="248"/>
        <v>50</v>
      </c>
      <c r="AB196" s="255">
        <f t="shared" si="248"/>
        <v>50</v>
      </c>
      <c r="AC196" s="255">
        <f t="shared" si="248"/>
        <v>50</v>
      </c>
      <c r="AD196" s="255">
        <f t="shared" si="248"/>
        <v>50</v>
      </c>
      <c r="AE196" s="255">
        <f t="shared" si="248"/>
        <v>50</v>
      </c>
      <c r="AF196" s="255">
        <f t="shared" si="248"/>
        <v>50</v>
      </c>
      <c r="AG196" s="941">
        <f t="shared" ref="AG196:AO196" si="249">IF(AG$2-$B$192&lt;$A196,$AG$190/$B$192,0)</f>
        <v>600</v>
      </c>
      <c r="AH196" s="941">
        <f t="shared" si="249"/>
        <v>600</v>
      </c>
      <c r="AI196" s="941">
        <f t="shared" si="249"/>
        <v>600</v>
      </c>
      <c r="AJ196" s="941">
        <f t="shared" si="249"/>
        <v>600</v>
      </c>
      <c r="AK196" s="941">
        <f t="shared" si="249"/>
        <v>600</v>
      </c>
      <c r="AL196" s="941">
        <f t="shared" si="249"/>
        <v>0</v>
      </c>
      <c r="AM196" s="941">
        <f t="shared" si="249"/>
        <v>0</v>
      </c>
      <c r="AN196" s="941">
        <f t="shared" si="249"/>
        <v>0</v>
      </c>
      <c r="AO196" s="941">
        <f t="shared" si="249"/>
        <v>0</v>
      </c>
    </row>
    <row r="197" spans="1:43" x14ac:dyDescent="0.2">
      <c r="A197" s="1">
        <f t="shared" ref="A197:A204" si="250">A196+1</f>
        <v>2015</v>
      </c>
      <c r="B197" s="1"/>
      <c r="C197" s="255">
        <f t="shared" si="246"/>
        <v>0</v>
      </c>
      <c r="D197" s="255">
        <f t="shared" si="243"/>
        <v>0</v>
      </c>
      <c r="E197" s="255">
        <f t="shared" si="243"/>
        <v>0</v>
      </c>
      <c r="F197" s="255">
        <f t="shared" si="243"/>
        <v>0</v>
      </c>
      <c r="G197" s="934">
        <v>0</v>
      </c>
      <c r="H197" s="255">
        <f t="shared" si="247"/>
        <v>0</v>
      </c>
      <c r="I197" s="255">
        <f t="shared" si="247"/>
        <v>0</v>
      </c>
      <c r="J197" s="255">
        <f t="shared" si="247"/>
        <v>0</v>
      </c>
      <c r="K197" s="255">
        <f t="shared" si="247"/>
        <v>0</v>
      </c>
      <c r="L197" s="255">
        <f t="shared" si="247"/>
        <v>0</v>
      </c>
      <c r="M197" s="255">
        <f t="shared" si="247"/>
        <v>0</v>
      </c>
      <c r="N197" s="255">
        <f t="shared" si="247"/>
        <v>0</v>
      </c>
      <c r="O197" s="255">
        <f t="shared" si="247"/>
        <v>0</v>
      </c>
      <c r="P197" s="255">
        <f t="shared" si="247"/>
        <v>0</v>
      </c>
      <c r="Q197" s="255">
        <f t="shared" si="247"/>
        <v>0</v>
      </c>
      <c r="R197" s="255">
        <f t="shared" si="247"/>
        <v>0</v>
      </c>
      <c r="S197" s="255">
        <f t="shared" si="247"/>
        <v>0</v>
      </c>
      <c r="T197" s="934">
        <v>0</v>
      </c>
      <c r="U197" s="255">
        <f t="shared" si="248"/>
        <v>0</v>
      </c>
      <c r="V197" s="255">
        <f t="shared" si="248"/>
        <v>0</v>
      </c>
      <c r="W197" s="255">
        <f t="shared" si="248"/>
        <v>0</v>
      </c>
      <c r="X197" s="255">
        <f t="shared" si="248"/>
        <v>0</v>
      </c>
      <c r="Y197" s="255">
        <f t="shared" si="248"/>
        <v>0</v>
      </c>
      <c r="Z197" s="255">
        <f t="shared" si="248"/>
        <v>0</v>
      </c>
      <c r="AA197" s="255">
        <f t="shared" si="248"/>
        <v>0</v>
      </c>
      <c r="AB197" s="255">
        <f t="shared" si="248"/>
        <v>0</v>
      </c>
      <c r="AC197" s="255">
        <f t="shared" si="248"/>
        <v>0</v>
      </c>
      <c r="AD197" s="255">
        <f t="shared" si="248"/>
        <v>0</v>
      </c>
      <c r="AE197" s="255">
        <f t="shared" si="248"/>
        <v>0</v>
      </c>
      <c r="AF197" s="255">
        <f t="shared" si="248"/>
        <v>0</v>
      </c>
      <c r="AG197" s="934">
        <v>0</v>
      </c>
      <c r="AH197" s="941">
        <f t="shared" ref="AH197:AO197" si="251">IF(AH$2-$B$192&lt;$A197,$AH$190/$B$192,0)</f>
        <v>800</v>
      </c>
      <c r="AI197" s="941">
        <f t="shared" si="251"/>
        <v>800</v>
      </c>
      <c r="AJ197" s="941">
        <f t="shared" si="251"/>
        <v>800</v>
      </c>
      <c r="AK197" s="941">
        <f t="shared" si="251"/>
        <v>800</v>
      </c>
      <c r="AL197" s="941">
        <f t="shared" si="251"/>
        <v>800</v>
      </c>
      <c r="AM197" s="941">
        <f t="shared" si="251"/>
        <v>0</v>
      </c>
      <c r="AN197" s="941">
        <f t="shared" si="251"/>
        <v>0</v>
      </c>
      <c r="AO197" s="941">
        <f t="shared" si="251"/>
        <v>0</v>
      </c>
    </row>
    <row r="198" spans="1:43" x14ac:dyDescent="0.2">
      <c r="A198" s="1">
        <f t="shared" si="250"/>
        <v>2016</v>
      </c>
      <c r="B198" s="1"/>
      <c r="C198" s="255">
        <f t="shared" si="246"/>
        <v>0</v>
      </c>
      <c r="D198" s="255">
        <f t="shared" si="243"/>
        <v>0</v>
      </c>
      <c r="E198" s="255">
        <f t="shared" si="243"/>
        <v>0</v>
      </c>
      <c r="F198" s="255">
        <f t="shared" si="243"/>
        <v>0</v>
      </c>
      <c r="G198" s="934">
        <v>0</v>
      </c>
      <c r="H198" s="255">
        <f t="shared" si="247"/>
        <v>0</v>
      </c>
      <c r="I198" s="255">
        <f t="shared" si="247"/>
        <v>0</v>
      </c>
      <c r="J198" s="255">
        <f t="shared" si="247"/>
        <v>0</v>
      </c>
      <c r="K198" s="255">
        <f t="shared" si="247"/>
        <v>0</v>
      </c>
      <c r="L198" s="255">
        <f t="shared" si="247"/>
        <v>0</v>
      </c>
      <c r="M198" s="255">
        <f t="shared" si="247"/>
        <v>0</v>
      </c>
      <c r="N198" s="255">
        <f t="shared" si="247"/>
        <v>0</v>
      </c>
      <c r="O198" s="255">
        <f t="shared" si="247"/>
        <v>0</v>
      </c>
      <c r="P198" s="255">
        <f t="shared" si="247"/>
        <v>0</v>
      </c>
      <c r="Q198" s="255">
        <f t="shared" si="247"/>
        <v>0</v>
      </c>
      <c r="R198" s="255">
        <f t="shared" si="247"/>
        <v>0</v>
      </c>
      <c r="S198" s="255">
        <f t="shared" si="247"/>
        <v>0</v>
      </c>
      <c r="T198" s="934">
        <v>0</v>
      </c>
      <c r="U198" s="255">
        <f t="shared" si="248"/>
        <v>0</v>
      </c>
      <c r="V198" s="255">
        <f t="shared" si="248"/>
        <v>0</v>
      </c>
      <c r="W198" s="255">
        <f t="shared" si="248"/>
        <v>0</v>
      </c>
      <c r="X198" s="255">
        <f t="shared" si="248"/>
        <v>0</v>
      </c>
      <c r="Y198" s="255">
        <f t="shared" si="248"/>
        <v>0</v>
      </c>
      <c r="Z198" s="255">
        <f t="shared" si="248"/>
        <v>0</v>
      </c>
      <c r="AA198" s="255">
        <f t="shared" si="248"/>
        <v>0</v>
      </c>
      <c r="AB198" s="255">
        <f t="shared" si="248"/>
        <v>0</v>
      </c>
      <c r="AC198" s="255">
        <f t="shared" si="248"/>
        <v>0</v>
      </c>
      <c r="AD198" s="255">
        <f t="shared" si="248"/>
        <v>0</v>
      </c>
      <c r="AE198" s="255">
        <f t="shared" si="248"/>
        <v>0</v>
      </c>
      <c r="AF198" s="255">
        <f t="shared" si="248"/>
        <v>0</v>
      </c>
      <c r="AG198" s="934">
        <v>0</v>
      </c>
      <c r="AH198" s="934">
        <v>0</v>
      </c>
      <c r="AI198" s="941">
        <f t="shared" ref="AI198:AO198" si="252">IF(AI$2-$B$192&lt;$A198,$AI$190/$B$192,0)</f>
        <v>800</v>
      </c>
      <c r="AJ198" s="941">
        <f t="shared" si="252"/>
        <v>800</v>
      </c>
      <c r="AK198" s="941">
        <f t="shared" si="252"/>
        <v>800</v>
      </c>
      <c r="AL198" s="941">
        <f t="shared" si="252"/>
        <v>800</v>
      </c>
      <c r="AM198" s="941">
        <f t="shared" si="252"/>
        <v>800</v>
      </c>
      <c r="AN198" s="941">
        <f t="shared" si="252"/>
        <v>0</v>
      </c>
      <c r="AO198" s="941">
        <f t="shared" si="252"/>
        <v>0</v>
      </c>
    </row>
    <row r="199" spans="1:43" x14ac:dyDescent="0.2">
      <c r="A199" s="1">
        <f t="shared" si="250"/>
        <v>2017</v>
      </c>
      <c r="B199" s="1"/>
      <c r="C199" s="255">
        <f t="shared" si="246"/>
        <v>0</v>
      </c>
      <c r="D199" s="255">
        <f t="shared" si="243"/>
        <v>0</v>
      </c>
      <c r="E199" s="255">
        <f t="shared" si="243"/>
        <v>0</v>
      </c>
      <c r="F199" s="255">
        <f t="shared" si="243"/>
        <v>0</v>
      </c>
      <c r="G199" s="934">
        <v>0</v>
      </c>
      <c r="H199" s="255">
        <f t="shared" si="247"/>
        <v>0</v>
      </c>
      <c r="I199" s="255">
        <f t="shared" si="247"/>
        <v>0</v>
      </c>
      <c r="J199" s="255">
        <f t="shared" si="247"/>
        <v>0</v>
      </c>
      <c r="K199" s="255">
        <f t="shared" si="247"/>
        <v>0</v>
      </c>
      <c r="L199" s="255">
        <f t="shared" si="247"/>
        <v>0</v>
      </c>
      <c r="M199" s="255">
        <f t="shared" si="247"/>
        <v>0</v>
      </c>
      <c r="N199" s="255">
        <f t="shared" si="247"/>
        <v>0</v>
      </c>
      <c r="O199" s="255">
        <f t="shared" si="247"/>
        <v>0</v>
      </c>
      <c r="P199" s="255">
        <f t="shared" si="247"/>
        <v>0</v>
      </c>
      <c r="Q199" s="255">
        <f t="shared" si="247"/>
        <v>0</v>
      </c>
      <c r="R199" s="255">
        <f t="shared" si="247"/>
        <v>0</v>
      </c>
      <c r="S199" s="255">
        <f t="shared" si="247"/>
        <v>0</v>
      </c>
      <c r="T199" s="934">
        <v>0</v>
      </c>
      <c r="U199" s="255">
        <f t="shared" si="248"/>
        <v>0</v>
      </c>
      <c r="V199" s="255">
        <f t="shared" si="248"/>
        <v>0</v>
      </c>
      <c r="W199" s="255">
        <f t="shared" si="248"/>
        <v>0</v>
      </c>
      <c r="X199" s="255">
        <f t="shared" si="248"/>
        <v>0</v>
      </c>
      <c r="Y199" s="255">
        <f t="shared" si="248"/>
        <v>0</v>
      </c>
      <c r="Z199" s="255">
        <f t="shared" si="248"/>
        <v>0</v>
      </c>
      <c r="AA199" s="255">
        <f t="shared" si="248"/>
        <v>0</v>
      </c>
      <c r="AB199" s="255">
        <f t="shared" si="248"/>
        <v>0</v>
      </c>
      <c r="AC199" s="255">
        <f t="shared" si="248"/>
        <v>0</v>
      </c>
      <c r="AD199" s="255">
        <f t="shared" si="248"/>
        <v>0</v>
      </c>
      <c r="AE199" s="255">
        <f t="shared" si="248"/>
        <v>0</v>
      </c>
      <c r="AF199" s="255">
        <f t="shared" si="248"/>
        <v>0</v>
      </c>
      <c r="AG199" s="934">
        <v>0</v>
      </c>
      <c r="AH199" s="934">
        <v>0</v>
      </c>
      <c r="AI199" s="934">
        <v>0</v>
      </c>
      <c r="AJ199" s="941">
        <f t="shared" ref="AJ199:AO199" si="253">IF(AJ$2-$B$192&lt;$A199,$AJ$190/$B$192,0)</f>
        <v>800</v>
      </c>
      <c r="AK199" s="941">
        <f t="shared" si="253"/>
        <v>800</v>
      </c>
      <c r="AL199" s="941">
        <f t="shared" si="253"/>
        <v>800</v>
      </c>
      <c r="AM199" s="941">
        <f t="shared" si="253"/>
        <v>800</v>
      </c>
      <c r="AN199" s="941">
        <f t="shared" si="253"/>
        <v>800</v>
      </c>
      <c r="AO199" s="941">
        <f t="shared" si="253"/>
        <v>0</v>
      </c>
    </row>
    <row r="200" spans="1:43" x14ac:dyDescent="0.2">
      <c r="A200" s="1">
        <f t="shared" si="250"/>
        <v>2018</v>
      </c>
      <c r="B200" s="1"/>
      <c r="C200" s="255">
        <f t="shared" si="246"/>
        <v>0</v>
      </c>
      <c r="D200" s="255">
        <f t="shared" si="243"/>
        <v>0</v>
      </c>
      <c r="E200" s="255">
        <f t="shared" si="243"/>
        <v>0</v>
      </c>
      <c r="F200" s="255">
        <f t="shared" si="243"/>
        <v>0</v>
      </c>
      <c r="G200" s="934">
        <v>0</v>
      </c>
      <c r="H200" s="255">
        <f t="shared" si="247"/>
        <v>0</v>
      </c>
      <c r="I200" s="255">
        <f t="shared" si="247"/>
        <v>0</v>
      </c>
      <c r="J200" s="255">
        <f t="shared" si="247"/>
        <v>0</v>
      </c>
      <c r="K200" s="255">
        <f t="shared" si="247"/>
        <v>0</v>
      </c>
      <c r="L200" s="255">
        <f t="shared" si="247"/>
        <v>0</v>
      </c>
      <c r="M200" s="255">
        <f t="shared" si="247"/>
        <v>0</v>
      </c>
      <c r="N200" s="255">
        <f t="shared" si="247"/>
        <v>0</v>
      </c>
      <c r="O200" s="255">
        <f t="shared" si="247"/>
        <v>0</v>
      </c>
      <c r="P200" s="255">
        <f t="shared" si="247"/>
        <v>0</v>
      </c>
      <c r="Q200" s="255">
        <f t="shared" si="247"/>
        <v>0</v>
      </c>
      <c r="R200" s="255">
        <f t="shared" si="247"/>
        <v>0</v>
      </c>
      <c r="S200" s="255">
        <f t="shared" si="247"/>
        <v>0</v>
      </c>
      <c r="T200" s="934">
        <v>0</v>
      </c>
      <c r="U200" s="255">
        <f t="shared" si="248"/>
        <v>0</v>
      </c>
      <c r="V200" s="255">
        <f t="shared" si="248"/>
        <v>0</v>
      </c>
      <c r="W200" s="255">
        <f t="shared" si="248"/>
        <v>0</v>
      </c>
      <c r="X200" s="255">
        <f t="shared" si="248"/>
        <v>0</v>
      </c>
      <c r="Y200" s="255">
        <f t="shared" si="248"/>
        <v>0</v>
      </c>
      <c r="Z200" s="255">
        <f t="shared" si="248"/>
        <v>0</v>
      </c>
      <c r="AA200" s="255">
        <f t="shared" si="248"/>
        <v>0</v>
      </c>
      <c r="AB200" s="255">
        <f t="shared" si="248"/>
        <v>0</v>
      </c>
      <c r="AC200" s="255">
        <f t="shared" si="248"/>
        <v>0</v>
      </c>
      <c r="AD200" s="255">
        <f t="shared" si="248"/>
        <v>0</v>
      </c>
      <c r="AE200" s="255">
        <f t="shared" si="248"/>
        <v>0</v>
      </c>
      <c r="AF200" s="255">
        <f t="shared" si="248"/>
        <v>0</v>
      </c>
      <c r="AG200" s="934">
        <v>0</v>
      </c>
      <c r="AH200" s="934">
        <v>0</v>
      </c>
      <c r="AI200" s="934">
        <v>0</v>
      </c>
      <c r="AJ200" s="934">
        <v>0</v>
      </c>
      <c r="AK200" s="941">
        <f>IF(AK$2-$B$192&lt;$A200,$AK$190/$B$192,0)</f>
        <v>800</v>
      </c>
      <c r="AL200" s="941">
        <f>IF(AL$2-$B$192&lt;$A200,$AK$190/$B$192,0)</f>
        <v>800</v>
      </c>
      <c r="AM200" s="941">
        <f>IF(AM$2-$B$192&lt;$A200,$AK$190/$B$192,0)</f>
        <v>800</v>
      </c>
      <c r="AN200" s="941">
        <f>IF(AN$2-$B$192&lt;$A200,$AK$190/$B$192,0)</f>
        <v>800</v>
      </c>
      <c r="AO200" s="941">
        <f>IF(AO$2-$B$192&lt;$A200,$AK$190/$B$192,0)</f>
        <v>800</v>
      </c>
    </row>
    <row r="201" spans="1:43" x14ac:dyDescent="0.2">
      <c r="A201" s="1">
        <f t="shared" si="250"/>
        <v>2019</v>
      </c>
      <c r="B201" s="1"/>
      <c r="C201" s="255">
        <f t="shared" si="246"/>
        <v>0</v>
      </c>
      <c r="D201" s="255">
        <f t="shared" si="243"/>
        <v>0</v>
      </c>
      <c r="E201" s="255">
        <f t="shared" si="243"/>
        <v>0</v>
      </c>
      <c r="F201" s="255">
        <f t="shared" si="243"/>
        <v>0</v>
      </c>
      <c r="G201" s="934">
        <v>0</v>
      </c>
      <c r="H201" s="255">
        <f t="shared" si="247"/>
        <v>0</v>
      </c>
      <c r="I201" s="255">
        <f t="shared" si="247"/>
        <v>0</v>
      </c>
      <c r="J201" s="255">
        <f t="shared" si="247"/>
        <v>0</v>
      </c>
      <c r="K201" s="255">
        <f t="shared" si="247"/>
        <v>0</v>
      </c>
      <c r="L201" s="255">
        <f t="shared" si="247"/>
        <v>0</v>
      </c>
      <c r="M201" s="255">
        <f t="shared" si="247"/>
        <v>0</v>
      </c>
      <c r="N201" s="255">
        <f t="shared" si="247"/>
        <v>0</v>
      </c>
      <c r="O201" s="255">
        <f t="shared" si="247"/>
        <v>0</v>
      </c>
      <c r="P201" s="255">
        <f t="shared" si="247"/>
        <v>0</v>
      </c>
      <c r="Q201" s="255">
        <f t="shared" si="247"/>
        <v>0</v>
      </c>
      <c r="R201" s="255">
        <f t="shared" si="247"/>
        <v>0</v>
      </c>
      <c r="S201" s="255">
        <f t="shared" si="247"/>
        <v>0</v>
      </c>
      <c r="T201" s="934">
        <v>0</v>
      </c>
      <c r="U201" s="255">
        <f t="shared" si="248"/>
        <v>0</v>
      </c>
      <c r="V201" s="255">
        <f t="shared" si="248"/>
        <v>0</v>
      </c>
      <c r="W201" s="255">
        <f t="shared" si="248"/>
        <v>0</v>
      </c>
      <c r="X201" s="255">
        <f t="shared" si="248"/>
        <v>0</v>
      </c>
      <c r="Y201" s="255">
        <f t="shared" si="248"/>
        <v>0</v>
      </c>
      <c r="Z201" s="255">
        <f t="shared" si="248"/>
        <v>0</v>
      </c>
      <c r="AA201" s="255">
        <f t="shared" si="248"/>
        <v>0</v>
      </c>
      <c r="AB201" s="255">
        <f t="shared" si="248"/>
        <v>0</v>
      </c>
      <c r="AC201" s="255">
        <f t="shared" si="248"/>
        <v>0</v>
      </c>
      <c r="AD201" s="255">
        <f t="shared" si="248"/>
        <v>0</v>
      </c>
      <c r="AE201" s="255">
        <f t="shared" si="248"/>
        <v>0</v>
      </c>
      <c r="AF201" s="255">
        <f t="shared" si="248"/>
        <v>0</v>
      </c>
      <c r="AG201" s="934">
        <v>0</v>
      </c>
      <c r="AH201" s="934">
        <v>0</v>
      </c>
      <c r="AI201" s="934">
        <v>0</v>
      </c>
      <c r="AJ201" s="934">
        <v>0</v>
      </c>
      <c r="AK201" s="934">
        <v>0</v>
      </c>
      <c r="AL201" s="941">
        <f>IF(AL$2-$B$192&lt;$A201,$AL$190/$B$192,0)</f>
        <v>800</v>
      </c>
      <c r="AM201" s="941">
        <f>IF(AM$2-$B$192&lt;$A201,$AL$190/$B$192,0)</f>
        <v>800</v>
      </c>
      <c r="AN201" s="941">
        <f>IF(AN$2-$B$192&lt;$A201,$AL$190/$B$192,0)</f>
        <v>800</v>
      </c>
      <c r="AO201" s="941">
        <f>IF(AO$2-$B$192&lt;$A201,$AL$190/$B$192,0)</f>
        <v>800</v>
      </c>
    </row>
    <row r="202" spans="1:43" x14ac:dyDescent="0.2">
      <c r="A202" s="1">
        <f t="shared" si="250"/>
        <v>2020</v>
      </c>
      <c r="B202" s="1"/>
      <c r="C202" s="255">
        <f t="shared" si="246"/>
        <v>0</v>
      </c>
      <c r="D202" s="255">
        <f t="shared" si="243"/>
        <v>0</v>
      </c>
      <c r="E202" s="255">
        <f t="shared" si="243"/>
        <v>0</v>
      </c>
      <c r="F202" s="255">
        <f t="shared" si="243"/>
        <v>0</v>
      </c>
      <c r="G202" s="934">
        <v>0</v>
      </c>
      <c r="H202" s="255">
        <f t="shared" si="247"/>
        <v>0</v>
      </c>
      <c r="I202" s="255">
        <f t="shared" si="247"/>
        <v>0</v>
      </c>
      <c r="J202" s="255">
        <f t="shared" si="247"/>
        <v>0</v>
      </c>
      <c r="K202" s="255">
        <f t="shared" si="247"/>
        <v>0</v>
      </c>
      <c r="L202" s="255">
        <f t="shared" si="247"/>
        <v>0</v>
      </c>
      <c r="M202" s="255">
        <f t="shared" si="247"/>
        <v>0</v>
      </c>
      <c r="N202" s="255">
        <f t="shared" si="247"/>
        <v>0</v>
      </c>
      <c r="O202" s="255">
        <f t="shared" si="247"/>
        <v>0</v>
      </c>
      <c r="P202" s="255">
        <f t="shared" si="247"/>
        <v>0</v>
      </c>
      <c r="Q202" s="255">
        <f t="shared" si="247"/>
        <v>0</v>
      </c>
      <c r="R202" s="255">
        <f t="shared" si="247"/>
        <v>0</v>
      </c>
      <c r="S202" s="255">
        <f t="shared" si="247"/>
        <v>0</v>
      </c>
      <c r="T202" s="934">
        <v>0</v>
      </c>
      <c r="U202" s="255">
        <f t="shared" si="248"/>
        <v>0</v>
      </c>
      <c r="V202" s="255">
        <f t="shared" si="248"/>
        <v>0</v>
      </c>
      <c r="W202" s="255">
        <f t="shared" si="248"/>
        <v>0</v>
      </c>
      <c r="X202" s="255">
        <f t="shared" si="248"/>
        <v>0</v>
      </c>
      <c r="Y202" s="255">
        <f t="shared" si="248"/>
        <v>0</v>
      </c>
      <c r="Z202" s="255">
        <f t="shared" si="248"/>
        <v>0</v>
      </c>
      <c r="AA202" s="255">
        <f t="shared" si="248"/>
        <v>0</v>
      </c>
      <c r="AB202" s="255">
        <f t="shared" si="248"/>
        <v>0</v>
      </c>
      <c r="AC202" s="255">
        <f t="shared" si="248"/>
        <v>0</v>
      </c>
      <c r="AD202" s="255">
        <f t="shared" si="248"/>
        <v>0</v>
      </c>
      <c r="AE202" s="255">
        <f t="shared" si="248"/>
        <v>0</v>
      </c>
      <c r="AF202" s="255">
        <f t="shared" si="248"/>
        <v>0</v>
      </c>
      <c r="AG202" s="934">
        <v>0</v>
      </c>
      <c r="AH202" s="934">
        <v>0</v>
      </c>
      <c r="AI202" s="934">
        <v>0</v>
      </c>
      <c r="AJ202" s="934">
        <v>0</v>
      </c>
      <c r="AK202" s="934">
        <v>0</v>
      </c>
      <c r="AL202" s="934">
        <v>0</v>
      </c>
      <c r="AM202" s="941">
        <f>IF(AM$2-$B$192&lt;$A202,$AM$190/$B$192,0)</f>
        <v>800</v>
      </c>
      <c r="AN202" s="941">
        <f>IF(AN$2-$B$192&lt;$A202,$AM$190/$B$192,0)</f>
        <v>800</v>
      </c>
      <c r="AO202" s="941">
        <f>IF(AO$2-$B$192&lt;$A202,$AM$190/$B$192,0)</f>
        <v>800</v>
      </c>
    </row>
    <row r="203" spans="1:43" x14ac:dyDescent="0.2">
      <c r="A203" s="1">
        <f t="shared" si="250"/>
        <v>2021</v>
      </c>
      <c r="B203" s="1"/>
      <c r="C203" s="255">
        <f t="shared" si="246"/>
        <v>0</v>
      </c>
      <c r="D203" s="255">
        <f t="shared" si="243"/>
        <v>0</v>
      </c>
      <c r="E203" s="255">
        <f t="shared" si="243"/>
        <v>0</v>
      </c>
      <c r="F203" s="255">
        <f t="shared" si="243"/>
        <v>0</v>
      </c>
      <c r="G203" s="934">
        <v>0</v>
      </c>
      <c r="H203" s="255">
        <f t="shared" si="247"/>
        <v>0</v>
      </c>
      <c r="I203" s="255">
        <f t="shared" si="247"/>
        <v>0</v>
      </c>
      <c r="J203" s="255">
        <f t="shared" si="247"/>
        <v>0</v>
      </c>
      <c r="K203" s="255">
        <f t="shared" si="247"/>
        <v>0</v>
      </c>
      <c r="L203" s="255">
        <f t="shared" si="247"/>
        <v>0</v>
      </c>
      <c r="M203" s="255">
        <f t="shared" si="247"/>
        <v>0</v>
      </c>
      <c r="N203" s="255">
        <f t="shared" si="247"/>
        <v>0</v>
      </c>
      <c r="O203" s="255">
        <f t="shared" si="247"/>
        <v>0</v>
      </c>
      <c r="P203" s="255">
        <f t="shared" si="247"/>
        <v>0</v>
      </c>
      <c r="Q203" s="255">
        <f t="shared" si="247"/>
        <v>0</v>
      </c>
      <c r="R203" s="255">
        <f t="shared" si="247"/>
        <v>0</v>
      </c>
      <c r="S203" s="255">
        <f t="shared" si="247"/>
        <v>0</v>
      </c>
      <c r="T203" s="934">
        <v>0</v>
      </c>
      <c r="U203" s="255">
        <f t="shared" si="248"/>
        <v>0</v>
      </c>
      <c r="V203" s="255">
        <f t="shared" si="248"/>
        <v>0</v>
      </c>
      <c r="W203" s="255">
        <f t="shared" si="248"/>
        <v>0</v>
      </c>
      <c r="X203" s="255">
        <f t="shared" si="248"/>
        <v>0</v>
      </c>
      <c r="Y203" s="255">
        <f t="shared" si="248"/>
        <v>0</v>
      </c>
      <c r="Z203" s="255">
        <f t="shared" si="248"/>
        <v>0</v>
      </c>
      <c r="AA203" s="255">
        <f t="shared" si="248"/>
        <v>0</v>
      </c>
      <c r="AB203" s="255">
        <f t="shared" si="248"/>
        <v>0</v>
      </c>
      <c r="AC203" s="255">
        <f t="shared" si="248"/>
        <v>0</v>
      </c>
      <c r="AD203" s="255">
        <f t="shared" si="248"/>
        <v>0</v>
      </c>
      <c r="AE203" s="255">
        <f t="shared" si="248"/>
        <v>0</v>
      </c>
      <c r="AF203" s="255">
        <f t="shared" si="248"/>
        <v>0</v>
      </c>
      <c r="AG203" s="934">
        <v>0</v>
      </c>
      <c r="AH203" s="934">
        <v>0</v>
      </c>
      <c r="AI203" s="934">
        <v>0</v>
      </c>
      <c r="AJ203" s="934">
        <v>0</v>
      </c>
      <c r="AK203" s="934">
        <v>0</v>
      </c>
      <c r="AL203" s="934">
        <v>0</v>
      </c>
      <c r="AM203" s="934">
        <v>0</v>
      </c>
      <c r="AN203" s="941">
        <f>IF(AN$2-$B$192&lt;$A203,$AN$190/$B$192,0)</f>
        <v>800</v>
      </c>
      <c r="AO203" s="941">
        <f>IF(AO$2-$B$192&lt;$A203,$AN$190/$B$192,0)</f>
        <v>800</v>
      </c>
    </row>
    <row r="204" spans="1:43" x14ac:dyDescent="0.2">
      <c r="A204" s="1">
        <f t="shared" si="250"/>
        <v>2022</v>
      </c>
      <c r="B204" s="1"/>
      <c r="C204" s="255">
        <f t="shared" si="246"/>
        <v>0</v>
      </c>
      <c r="D204" s="255">
        <f t="shared" si="243"/>
        <v>0</v>
      </c>
      <c r="E204" s="255">
        <f t="shared" si="243"/>
        <v>0</v>
      </c>
      <c r="F204" s="255">
        <f t="shared" si="243"/>
        <v>0</v>
      </c>
      <c r="G204" s="934">
        <v>0</v>
      </c>
      <c r="H204" s="255">
        <f t="shared" si="247"/>
        <v>0</v>
      </c>
      <c r="I204" s="255">
        <f t="shared" si="247"/>
        <v>0</v>
      </c>
      <c r="J204" s="255">
        <f t="shared" si="247"/>
        <v>0</v>
      </c>
      <c r="K204" s="255">
        <f t="shared" si="247"/>
        <v>0</v>
      </c>
      <c r="L204" s="255">
        <f t="shared" si="247"/>
        <v>0</v>
      </c>
      <c r="M204" s="255">
        <f t="shared" si="247"/>
        <v>0</v>
      </c>
      <c r="N204" s="255">
        <f t="shared" si="247"/>
        <v>0</v>
      </c>
      <c r="O204" s="255">
        <f t="shared" si="247"/>
        <v>0</v>
      </c>
      <c r="P204" s="255">
        <f t="shared" si="247"/>
        <v>0</v>
      </c>
      <c r="Q204" s="255">
        <f t="shared" si="247"/>
        <v>0</v>
      </c>
      <c r="R204" s="255">
        <f t="shared" si="247"/>
        <v>0</v>
      </c>
      <c r="S204" s="255">
        <f t="shared" si="247"/>
        <v>0</v>
      </c>
      <c r="T204" s="934">
        <v>0</v>
      </c>
      <c r="U204" s="255">
        <f t="shared" si="248"/>
        <v>0</v>
      </c>
      <c r="V204" s="255">
        <f t="shared" si="248"/>
        <v>0</v>
      </c>
      <c r="W204" s="255">
        <f t="shared" si="248"/>
        <v>0</v>
      </c>
      <c r="X204" s="255">
        <f t="shared" si="248"/>
        <v>0</v>
      </c>
      <c r="Y204" s="255">
        <f t="shared" si="248"/>
        <v>0</v>
      </c>
      <c r="Z204" s="255">
        <f t="shared" si="248"/>
        <v>0</v>
      </c>
      <c r="AA204" s="255">
        <f t="shared" si="248"/>
        <v>0</v>
      </c>
      <c r="AB204" s="255">
        <f t="shared" si="248"/>
        <v>0</v>
      </c>
      <c r="AC204" s="255">
        <f t="shared" si="248"/>
        <v>0</v>
      </c>
      <c r="AD204" s="255">
        <f t="shared" si="248"/>
        <v>0</v>
      </c>
      <c r="AE204" s="255">
        <f t="shared" si="248"/>
        <v>0</v>
      </c>
      <c r="AF204" s="255">
        <f t="shared" si="248"/>
        <v>0</v>
      </c>
      <c r="AG204" s="934">
        <v>0</v>
      </c>
      <c r="AH204" s="934">
        <v>0</v>
      </c>
      <c r="AI204" s="934">
        <v>0</v>
      </c>
      <c r="AJ204" s="934">
        <v>0</v>
      </c>
      <c r="AK204" s="934">
        <v>0</v>
      </c>
      <c r="AL204" s="934">
        <v>0</v>
      </c>
      <c r="AM204" s="934">
        <v>0</v>
      </c>
      <c r="AN204" s="934">
        <v>0</v>
      </c>
      <c r="AO204" s="941">
        <f>IF(AO$2-$B$192&lt;$A204,$AO$190/$B$192,0)</f>
        <v>800</v>
      </c>
    </row>
    <row r="205" spans="1:43" x14ac:dyDescent="0.2">
      <c r="A205" s="1"/>
      <c r="B205" s="1"/>
      <c r="C205" s="1"/>
      <c r="D205" s="1"/>
      <c r="E205" s="1"/>
      <c r="F205" s="1"/>
      <c r="G205" s="101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6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268"/>
      <c r="AH205" s="268"/>
      <c r="AI205" s="268"/>
      <c r="AJ205" s="268"/>
      <c r="AK205" s="268"/>
      <c r="AL205" s="268"/>
      <c r="AM205" s="268"/>
      <c r="AN205" s="268"/>
      <c r="AO205" s="268"/>
    </row>
    <row r="206" spans="1:43" x14ac:dyDescent="0.2">
      <c r="A206" s="735" t="s">
        <v>472</v>
      </c>
      <c r="B206" s="735"/>
      <c r="C206" s="737">
        <f>SUM(C194:C204)</f>
        <v>200</v>
      </c>
      <c r="D206" s="737">
        <f t="shared" ref="D206:F206" si="254">SUM(D194:D204)</f>
        <v>200</v>
      </c>
      <c r="E206" s="737">
        <f t="shared" si="254"/>
        <v>200</v>
      </c>
      <c r="F206" s="737">
        <f t="shared" si="254"/>
        <v>200</v>
      </c>
      <c r="G206" s="947">
        <f>SUM(C206:F206)</f>
        <v>800</v>
      </c>
      <c r="H206" s="737">
        <f>SUM(H194:H204)</f>
        <v>133.33333333333334</v>
      </c>
      <c r="I206" s="737">
        <f t="shared" ref="I206:AN206" si="255">SUM(I194:I204)</f>
        <v>133.33333333333334</v>
      </c>
      <c r="J206" s="737">
        <f t="shared" si="255"/>
        <v>133.33333333333334</v>
      </c>
      <c r="K206" s="737">
        <f t="shared" si="255"/>
        <v>133.33333333333334</v>
      </c>
      <c r="L206" s="737">
        <f t="shared" si="255"/>
        <v>133.33333333333334</v>
      </c>
      <c r="M206" s="737">
        <f t="shared" si="255"/>
        <v>133.33333333333334</v>
      </c>
      <c r="N206" s="737">
        <f t="shared" si="255"/>
        <v>133.33333333333334</v>
      </c>
      <c r="O206" s="737">
        <f t="shared" si="255"/>
        <v>133.33333333333334</v>
      </c>
      <c r="P206" s="737">
        <f t="shared" si="255"/>
        <v>133.33333333333334</v>
      </c>
      <c r="Q206" s="737">
        <f t="shared" si="255"/>
        <v>133.33333333333334</v>
      </c>
      <c r="R206" s="737">
        <f t="shared" si="255"/>
        <v>133.33333333333334</v>
      </c>
      <c r="S206" s="737">
        <f t="shared" si="255"/>
        <v>133.33333333333334</v>
      </c>
      <c r="T206" s="947">
        <f t="shared" si="255"/>
        <v>1600</v>
      </c>
      <c r="U206" s="737">
        <f>SUM(U194:U204)</f>
        <v>183.33333333333334</v>
      </c>
      <c r="V206" s="737">
        <f t="shared" si="255"/>
        <v>183.33333333333334</v>
      </c>
      <c r="W206" s="737">
        <f t="shared" si="255"/>
        <v>183.33333333333334</v>
      </c>
      <c r="X206" s="737">
        <f t="shared" si="255"/>
        <v>183.33333333333334</v>
      </c>
      <c r="Y206" s="737">
        <f t="shared" si="255"/>
        <v>183.33333333333334</v>
      </c>
      <c r="Z206" s="737">
        <f t="shared" si="255"/>
        <v>183.33333333333334</v>
      </c>
      <c r="AA206" s="737">
        <f t="shared" si="255"/>
        <v>183.33333333333334</v>
      </c>
      <c r="AB206" s="737">
        <f t="shared" si="255"/>
        <v>183.33333333333334</v>
      </c>
      <c r="AC206" s="737">
        <f t="shared" si="255"/>
        <v>183.33333333333334</v>
      </c>
      <c r="AD206" s="737">
        <f t="shared" si="255"/>
        <v>183.33333333333334</v>
      </c>
      <c r="AE206" s="737">
        <f t="shared" si="255"/>
        <v>183.33333333333334</v>
      </c>
      <c r="AF206" s="737">
        <f t="shared" si="255"/>
        <v>183.33333333333334</v>
      </c>
      <c r="AG206" s="947">
        <f>SUM(AG194:AG204)</f>
        <v>2200</v>
      </c>
      <c r="AH206" s="947">
        <f t="shared" si="255"/>
        <v>3000</v>
      </c>
      <c r="AI206" s="947">
        <f t="shared" si="255"/>
        <v>3800</v>
      </c>
      <c r="AJ206" s="947">
        <f t="shared" si="255"/>
        <v>3800</v>
      </c>
      <c r="AK206" s="947">
        <f t="shared" si="255"/>
        <v>3800</v>
      </c>
      <c r="AL206" s="947">
        <f t="shared" si="255"/>
        <v>4000</v>
      </c>
      <c r="AM206" s="947">
        <f t="shared" si="255"/>
        <v>4000</v>
      </c>
      <c r="AN206" s="947">
        <f t="shared" si="255"/>
        <v>4000</v>
      </c>
      <c r="AO206" s="947">
        <f>SUM(AO194:AO204)</f>
        <v>4000</v>
      </c>
    </row>
  </sheetData>
  <printOptions headings="1"/>
  <pageMargins left="0.75" right="0.75" top="1" bottom="1" header="0.5" footer="0.5"/>
  <pageSetup scale="17" orientation="landscape" horizontalDpi="4294967292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topLeftCell="A7" workbookViewId="0">
      <selection activeCell="A6" sqref="A6"/>
    </sheetView>
  </sheetViews>
  <sheetFormatPr defaultColWidth="9.125" defaultRowHeight="12.4" customHeight="1" x14ac:dyDescent="0.2"/>
  <cols>
    <col min="1" max="1" width="35.5" customWidth="1"/>
    <col min="2" max="19" width="13.625" customWidth="1"/>
    <col min="34" max="34" width="15.25" customWidth="1"/>
    <col min="38" max="38" width="15.75" customWidth="1"/>
    <col min="40" max="40" width="14.25" customWidth="1"/>
  </cols>
  <sheetData>
    <row r="1" spans="1:40" s="1" customFormat="1" ht="16.149999999999999" customHeight="1" x14ac:dyDescent="0.2">
      <c r="A1" s="2" t="s">
        <v>220</v>
      </c>
      <c r="B1" s="2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5"/>
      <c r="P1" s="3"/>
      <c r="Q1" s="7"/>
      <c r="R1" s="3"/>
      <c r="S1" s="7"/>
      <c r="T1" s="22"/>
      <c r="X1" s="22"/>
      <c r="Y1" s="22"/>
      <c r="AA1" s="22"/>
      <c r="AH1"/>
      <c r="AL1"/>
      <c r="AN1"/>
    </row>
    <row r="2" spans="1:40" s="1" customFormat="1" ht="12.4" customHeight="1" thickBot="1" x14ac:dyDescent="0.25">
      <c r="A2" s="8"/>
      <c r="B2" s="24"/>
      <c r="C2" s="10" t="e">
        <f>IF(PS_DateSetting=1," Month 1",DATE(PS_StartingYear,PS_StartingMonth,15))</f>
        <v>#REF!</v>
      </c>
      <c r="D2" s="10" t="e">
        <f>IF(PS_DateSetting=1," Month 2",C2+30.4)</f>
        <v>#REF!</v>
      </c>
      <c r="E2" s="10" t="e">
        <f>IF(PS_DateSetting=1," Month 3",D2+30.4)</f>
        <v>#REF!</v>
      </c>
      <c r="F2" s="10" t="e">
        <f>IF(PS_DateSetting=1," Month 4",E2+30.4)</f>
        <v>#REF!</v>
      </c>
      <c r="G2" s="10" t="e">
        <f>IF(PS_DateSetting=1," Month 5",F2+30.4)</f>
        <v>#REF!</v>
      </c>
      <c r="H2" s="10" t="e">
        <f>IF(PS_DateSetting=1," Month 6",G2+30.4)</f>
        <v>#REF!</v>
      </c>
      <c r="I2" s="10" t="e">
        <f>IF(PS_DateSetting=1," Month 7",H2+30.4)</f>
        <v>#REF!</v>
      </c>
      <c r="J2" s="10" t="e">
        <f>IF(PS_DateSetting=1," Month 8",I2+30.4)</f>
        <v>#REF!</v>
      </c>
      <c r="K2" s="10" t="e">
        <f>IF(PS_DateSetting=1," Month 9",J2+30.4)</f>
        <v>#REF!</v>
      </c>
      <c r="L2" s="10" t="e">
        <f>IF(PS_DateSetting=1," Month 10",K2+30.4)</f>
        <v>#REF!</v>
      </c>
      <c r="M2" s="10" t="e">
        <f>IF(PS_DateSetting=1," Month 11",L2+30.4)</f>
        <v>#REF!</v>
      </c>
      <c r="N2" s="10" t="e">
        <f>IF(PS_DateSetting=1," Month 12",M2+30.4)</f>
        <v>#REF!</v>
      </c>
      <c r="O2" s="11" t="e">
        <f>IF(PS_DateSetting=1," Year 1",IF(PS_StartingMonth&gt;1,"FY "&amp;PS_StartingYear+1,PS_StartingYear))</f>
        <v>#REF!</v>
      </c>
      <c r="P2" s="13" t="e">
        <f>IF(PS_DateSetting=1," Year 2",IF(PS_StartingMonth&gt;1,"FY "&amp;PS_StartingYear+2,PS_StartingYear+1))</f>
        <v>#REF!</v>
      </c>
      <c r="Q2" s="11" t="e">
        <f>IF(PS_DateSetting=1," Year 3",IF(PS_StartingMonth&gt;1,"FY "&amp;PS_StartingYear+3,PS_StartingYear+2))</f>
        <v>#REF!</v>
      </c>
      <c r="R2" s="13" t="e">
        <f>IF(PS_DateSetting=1," Year 4",IF(PS_StartingMonth&gt;1,"FY "&amp;PS_StartingYear+4,PS_StartingYear+3))</f>
        <v>#REF!</v>
      </c>
      <c r="S2" s="11" t="e">
        <f>IF(PS_DateSetting=1," Year 5",IF(PS_StartingMonth&gt;1,"FY "&amp;PS_StartingYear+5,PS_StartingYear+4))</f>
        <v>#REF!</v>
      </c>
      <c r="T2" s="22"/>
      <c r="X2" s="22"/>
      <c r="Y2" s="22"/>
      <c r="AA2" s="22"/>
      <c r="AH2"/>
      <c r="AL2"/>
      <c r="AN2"/>
    </row>
    <row r="3" spans="1:40" s="1" customFormat="1" ht="16.149999999999999" customHeight="1" thickBot="1" x14ac:dyDescent="0.25">
      <c r="A3" s="25" t="s">
        <v>182</v>
      </c>
      <c r="B3" s="7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33"/>
      <c r="P3" s="84"/>
      <c r="Q3" s="59"/>
      <c r="R3" s="84"/>
      <c r="S3" s="59"/>
      <c r="T3" s="22"/>
      <c r="X3" s="22"/>
      <c r="Y3" s="22"/>
      <c r="AA3" s="22"/>
      <c r="AH3"/>
      <c r="AL3"/>
      <c r="AN3"/>
    </row>
    <row r="4" spans="1:40" ht="12.4" customHeight="1" x14ac:dyDescent="0.2">
      <c r="A4" s="29" t="s">
        <v>23</v>
      </c>
      <c r="B4" s="479">
        <v>0</v>
      </c>
      <c r="C4" s="479">
        <f t="shared" ref="C4:N4" si="0">B37</f>
        <v>0</v>
      </c>
      <c r="D4" s="437">
        <f t="shared" si="0"/>
        <v>0</v>
      </c>
      <c r="E4" s="437">
        <f t="shared" si="0"/>
        <v>0</v>
      </c>
      <c r="F4" s="437">
        <f t="shared" si="0"/>
        <v>0</v>
      </c>
      <c r="G4" s="437">
        <f t="shared" si="0"/>
        <v>0</v>
      </c>
      <c r="H4" s="437">
        <f t="shared" si="0"/>
        <v>0</v>
      </c>
      <c r="I4" s="437">
        <f t="shared" si="0"/>
        <v>0</v>
      </c>
      <c r="J4" s="437">
        <f t="shared" si="0"/>
        <v>0</v>
      </c>
      <c r="K4" s="437">
        <f t="shared" si="0"/>
        <v>0</v>
      </c>
      <c r="L4" s="437">
        <f t="shared" si="0"/>
        <v>0</v>
      </c>
      <c r="M4" s="437">
        <f t="shared" si="0"/>
        <v>0</v>
      </c>
      <c r="N4" s="437">
        <f t="shared" si="0"/>
        <v>0</v>
      </c>
      <c r="O4" s="438">
        <f>C4</f>
        <v>0</v>
      </c>
      <c r="P4" s="437">
        <f>O37</f>
        <v>0</v>
      </c>
      <c r="Q4" s="438">
        <f>P37</f>
        <v>0</v>
      </c>
      <c r="R4" s="437">
        <f>Q37</f>
        <v>0</v>
      </c>
      <c r="S4" s="438">
        <f>R37</f>
        <v>0</v>
      </c>
    </row>
    <row r="5" spans="1:40" ht="12.4" customHeight="1" x14ac:dyDescent="0.2">
      <c r="A5" s="29"/>
      <c r="B5" s="439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339"/>
      <c r="P5" s="338"/>
      <c r="Q5" s="339"/>
      <c r="R5" s="338"/>
      <c r="S5" s="339"/>
    </row>
    <row r="6" spans="1:40" s="1" customFormat="1" ht="16.149999999999999" customHeight="1" thickBot="1" x14ac:dyDescent="0.25">
      <c r="A6" s="25" t="s">
        <v>20</v>
      </c>
      <c r="B6" s="7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33"/>
      <c r="P6" s="84"/>
      <c r="Q6" s="59"/>
      <c r="R6" s="84"/>
      <c r="S6" s="59"/>
      <c r="T6" s="22"/>
      <c r="X6" s="22"/>
      <c r="Y6" s="22"/>
      <c r="AA6" s="22"/>
      <c r="AH6"/>
      <c r="AL6"/>
      <c r="AN6"/>
    </row>
    <row r="7" spans="1:40" ht="12.4" customHeight="1" x14ac:dyDescent="0.2">
      <c r="A7" s="29" t="s">
        <v>189</v>
      </c>
      <c r="B7" s="479">
        <v>0</v>
      </c>
      <c r="C7" s="479">
        <v>0</v>
      </c>
      <c r="D7" s="479">
        <v>0</v>
      </c>
      <c r="E7" s="479">
        <v>0</v>
      </c>
      <c r="F7" s="479">
        <v>0</v>
      </c>
      <c r="G7" s="479">
        <v>0</v>
      </c>
      <c r="H7" s="479">
        <v>0</v>
      </c>
      <c r="I7" s="479">
        <v>0</v>
      </c>
      <c r="J7" s="479">
        <v>0</v>
      </c>
      <c r="K7" s="479">
        <v>0</v>
      </c>
      <c r="L7" s="479">
        <v>0</v>
      </c>
      <c r="M7" s="479">
        <v>0</v>
      </c>
      <c r="N7" s="479">
        <v>0</v>
      </c>
      <c r="O7" s="440">
        <f t="shared" ref="O7:O12" si="1">SUM(C7:N7)</f>
        <v>0</v>
      </c>
      <c r="P7" s="480">
        <v>0</v>
      </c>
      <c r="Q7" s="481">
        <v>0</v>
      </c>
      <c r="R7" s="480">
        <v>0</v>
      </c>
      <c r="S7" s="481">
        <v>0</v>
      </c>
    </row>
    <row r="8" spans="1:40" ht="12.4" customHeight="1" x14ac:dyDescent="0.2">
      <c r="A8" s="29" t="s">
        <v>16</v>
      </c>
      <c r="B8" s="482">
        <v>0</v>
      </c>
      <c r="C8" s="482">
        <v>0</v>
      </c>
      <c r="D8" s="482">
        <v>0</v>
      </c>
      <c r="E8" s="482">
        <v>0</v>
      </c>
      <c r="F8" s="482">
        <v>0</v>
      </c>
      <c r="G8" s="482">
        <v>0</v>
      </c>
      <c r="H8" s="482">
        <v>0</v>
      </c>
      <c r="I8" s="482">
        <v>0</v>
      </c>
      <c r="J8" s="482">
        <v>0</v>
      </c>
      <c r="K8" s="482">
        <v>0</v>
      </c>
      <c r="L8" s="482">
        <v>0</v>
      </c>
      <c r="M8" s="482">
        <v>0</v>
      </c>
      <c r="N8" s="482">
        <v>0</v>
      </c>
      <c r="O8" s="441">
        <f t="shared" si="1"/>
        <v>0</v>
      </c>
      <c r="P8" s="483">
        <v>0</v>
      </c>
      <c r="Q8" s="484">
        <v>0</v>
      </c>
      <c r="R8" s="483">
        <v>0</v>
      </c>
      <c r="S8" s="484">
        <v>0</v>
      </c>
    </row>
    <row r="9" spans="1:40" ht="12.4" customHeight="1" x14ac:dyDescent="0.2">
      <c r="A9" s="29" t="e">
        <f>IF(PS_Nonprofit=TRUE,"Funding", "Sales")</f>
        <v>#REF!</v>
      </c>
      <c r="B9" s="482">
        <v>0</v>
      </c>
      <c r="C9" s="482">
        <v>0</v>
      </c>
      <c r="D9" s="482">
        <v>0</v>
      </c>
      <c r="E9" s="482">
        <v>0</v>
      </c>
      <c r="F9" s="482">
        <v>0</v>
      </c>
      <c r="G9" s="482">
        <v>0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41">
        <f t="shared" si="1"/>
        <v>0</v>
      </c>
      <c r="P9" s="483">
        <v>0</v>
      </c>
      <c r="Q9" s="484">
        <v>0</v>
      </c>
      <c r="R9" s="483">
        <v>0</v>
      </c>
      <c r="S9" s="484">
        <v>0</v>
      </c>
    </row>
    <row r="10" spans="1:40" ht="12.4" customHeight="1" x14ac:dyDescent="0.2">
      <c r="A10" s="485" t="s">
        <v>153</v>
      </c>
      <c r="B10" s="482">
        <v>0</v>
      </c>
      <c r="C10" s="482">
        <v>0</v>
      </c>
      <c r="D10" s="482">
        <v>0</v>
      </c>
      <c r="E10" s="482">
        <v>0</v>
      </c>
      <c r="F10" s="482">
        <v>0</v>
      </c>
      <c r="G10" s="482">
        <v>0</v>
      </c>
      <c r="H10" s="482">
        <v>0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41">
        <f t="shared" si="1"/>
        <v>0</v>
      </c>
      <c r="P10" s="483">
        <v>0</v>
      </c>
      <c r="Q10" s="484">
        <v>0</v>
      </c>
      <c r="R10" s="483">
        <v>0</v>
      </c>
      <c r="S10" s="484">
        <v>0</v>
      </c>
    </row>
    <row r="11" spans="1:40" ht="12.4" customHeight="1" thickBot="1" x14ac:dyDescent="0.25">
      <c r="A11" s="486" t="s">
        <v>153</v>
      </c>
      <c r="B11" s="487">
        <v>0</v>
      </c>
      <c r="C11" s="487">
        <v>0</v>
      </c>
      <c r="D11" s="487">
        <v>0</v>
      </c>
      <c r="E11" s="487">
        <v>0</v>
      </c>
      <c r="F11" s="487">
        <v>0</v>
      </c>
      <c r="G11" s="487">
        <v>0</v>
      </c>
      <c r="H11" s="487">
        <v>0</v>
      </c>
      <c r="I11" s="487">
        <v>0</v>
      </c>
      <c r="J11" s="487">
        <v>0</v>
      </c>
      <c r="K11" s="487">
        <v>0</v>
      </c>
      <c r="L11" s="487">
        <v>0</v>
      </c>
      <c r="M11" s="487">
        <v>0</v>
      </c>
      <c r="N11" s="487">
        <v>0</v>
      </c>
      <c r="O11" s="442">
        <f t="shared" si="1"/>
        <v>0</v>
      </c>
      <c r="P11" s="488">
        <v>0</v>
      </c>
      <c r="Q11" s="489">
        <v>0</v>
      </c>
      <c r="R11" s="488">
        <v>0</v>
      </c>
      <c r="S11" s="489">
        <v>0</v>
      </c>
    </row>
    <row r="12" spans="1:40" ht="12.4" customHeight="1" x14ac:dyDescent="0.2">
      <c r="A12" s="33" t="s">
        <v>213</v>
      </c>
      <c r="B12" s="443">
        <f t="shared" ref="B12:N12" si="2">SUM(B7:B11)</f>
        <v>0</v>
      </c>
      <c r="C12" s="443">
        <f t="shared" si="2"/>
        <v>0</v>
      </c>
      <c r="D12" s="443">
        <f t="shared" si="2"/>
        <v>0</v>
      </c>
      <c r="E12" s="443">
        <f t="shared" si="2"/>
        <v>0</v>
      </c>
      <c r="F12" s="443">
        <f t="shared" si="2"/>
        <v>0</v>
      </c>
      <c r="G12" s="443">
        <f t="shared" si="2"/>
        <v>0</v>
      </c>
      <c r="H12" s="443">
        <f t="shared" si="2"/>
        <v>0</v>
      </c>
      <c r="I12" s="443">
        <f t="shared" si="2"/>
        <v>0</v>
      </c>
      <c r="J12" s="443">
        <f t="shared" si="2"/>
        <v>0</v>
      </c>
      <c r="K12" s="443">
        <f t="shared" si="2"/>
        <v>0</v>
      </c>
      <c r="L12" s="443">
        <f t="shared" si="2"/>
        <v>0</v>
      </c>
      <c r="M12" s="443">
        <f t="shared" si="2"/>
        <v>0</v>
      </c>
      <c r="N12" s="443">
        <f t="shared" si="2"/>
        <v>0</v>
      </c>
      <c r="O12" s="444">
        <f t="shared" si="1"/>
        <v>0</v>
      </c>
      <c r="P12" s="443">
        <f>SUM(P7:P11)</f>
        <v>0</v>
      </c>
      <c r="Q12" s="444">
        <f>SUM(Q7:Q11)</f>
        <v>0</v>
      </c>
      <c r="R12" s="443">
        <f>SUM(R7:R11)</f>
        <v>0</v>
      </c>
      <c r="S12" s="444">
        <f>SUM(S7:S11)</f>
        <v>0</v>
      </c>
    </row>
    <row r="13" spans="1:40" ht="12.4" customHeight="1" x14ac:dyDescent="0.2">
      <c r="A13" s="29"/>
      <c r="B13" s="439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339"/>
      <c r="P13" s="338"/>
      <c r="Q13" s="339"/>
      <c r="R13" s="338"/>
      <c r="S13" s="339"/>
    </row>
    <row r="14" spans="1:40" s="1" customFormat="1" ht="16.149999999999999" customHeight="1" thickBot="1" x14ac:dyDescent="0.25">
      <c r="A14" s="25" t="s">
        <v>14</v>
      </c>
      <c r="B14" s="74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33"/>
      <c r="P14" s="84"/>
      <c r="Q14" s="59"/>
      <c r="R14" s="84"/>
      <c r="S14" s="59"/>
      <c r="T14" s="22"/>
      <c r="X14" s="22"/>
      <c r="Y14" s="22"/>
      <c r="AA14" s="22"/>
      <c r="AH14"/>
      <c r="AL14"/>
      <c r="AN14"/>
    </row>
    <row r="15" spans="1:40" s="34" customFormat="1" ht="16.149999999999999" customHeight="1" x14ac:dyDescent="0.2">
      <c r="A15" s="35"/>
      <c r="B15" s="15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40"/>
      <c r="P15" s="116"/>
      <c r="Q15" s="241"/>
      <c r="R15" s="116"/>
      <c r="S15" s="241"/>
      <c r="T15" s="38"/>
      <c r="X15" s="38"/>
      <c r="Y15" s="38"/>
      <c r="AA15" s="38"/>
      <c r="AH15"/>
      <c r="AL15"/>
      <c r="AN15"/>
    </row>
    <row r="16" spans="1:40" s="34" customFormat="1" ht="12.4" customHeight="1" thickBot="1" x14ac:dyDescent="0.25">
      <c r="A16" s="39" t="s">
        <v>25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3"/>
      <c r="Q16" s="42"/>
      <c r="R16" s="43"/>
      <c r="S16" s="42"/>
      <c r="T16" s="22"/>
      <c r="X16" s="22"/>
      <c r="Y16" s="22"/>
      <c r="AA16" s="22"/>
      <c r="AH16"/>
      <c r="AL16"/>
      <c r="AN16"/>
    </row>
    <row r="17" spans="1:19" ht="12.4" customHeight="1" x14ac:dyDescent="0.2">
      <c r="A17" s="29" t="e">
        <f>IF(PS_Nonprofit=TRUE,"Direct Cost",IF(PS_Products,"Direct Costs of Goods","Direct Cost of Sales"))</f>
        <v>#REF!</v>
      </c>
      <c r="B17" s="479">
        <v>0</v>
      </c>
      <c r="C17" s="479">
        <v>0</v>
      </c>
      <c r="D17" s="479">
        <v>0</v>
      </c>
      <c r="E17" s="479">
        <v>0</v>
      </c>
      <c r="F17" s="479">
        <v>0</v>
      </c>
      <c r="G17" s="479">
        <v>0</v>
      </c>
      <c r="H17" s="479">
        <v>0</v>
      </c>
      <c r="I17" s="479">
        <v>0</v>
      </c>
      <c r="J17" s="479">
        <v>0</v>
      </c>
      <c r="K17" s="479">
        <v>0</v>
      </c>
      <c r="L17" s="479">
        <v>0</v>
      </c>
      <c r="M17" s="479">
        <v>0</v>
      </c>
      <c r="N17" s="479">
        <v>0</v>
      </c>
      <c r="O17" s="438">
        <f>SUM(C17:N17)</f>
        <v>0</v>
      </c>
      <c r="P17" s="480">
        <v>0</v>
      </c>
      <c r="Q17" s="481">
        <v>0</v>
      </c>
      <c r="R17" s="480">
        <v>0</v>
      </c>
      <c r="S17" s="481">
        <v>0</v>
      </c>
    </row>
    <row r="18" spans="1:19" ht="12.4" customHeight="1" x14ac:dyDescent="0.2">
      <c r="A18" s="490" t="e">
        <f>IF(PS_Products,"Other Costs of Goods",IF(PS_Nonprofit,"Other Costs of Funding","Other Costs of Sales"))</f>
        <v>#REF!</v>
      </c>
      <c r="B18" s="482">
        <v>0</v>
      </c>
      <c r="C18" s="482">
        <v>0</v>
      </c>
      <c r="D18" s="482">
        <v>0</v>
      </c>
      <c r="E18" s="482">
        <v>0</v>
      </c>
      <c r="F18" s="482">
        <v>0</v>
      </c>
      <c r="G18" s="482">
        <v>0</v>
      </c>
      <c r="H18" s="482">
        <v>0</v>
      </c>
      <c r="I18" s="482">
        <v>0</v>
      </c>
      <c r="J18" s="482">
        <v>0</v>
      </c>
      <c r="K18" s="482">
        <v>0</v>
      </c>
      <c r="L18" s="482">
        <v>0</v>
      </c>
      <c r="M18" s="482">
        <v>0</v>
      </c>
      <c r="N18" s="482">
        <v>0</v>
      </c>
      <c r="O18" s="438">
        <f>SUM(C18:N18)</f>
        <v>0</v>
      </c>
      <c r="P18" s="483">
        <v>0</v>
      </c>
      <c r="Q18" s="484">
        <v>0</v>
      </c>
      <c r="R18" s="483">
        <v>0</v>
      </c>
      <c r="S18" s="484">
        <v>0</v>
      </c>
    </row>
    <row r="19" spans="1:19" ht="12.4" customHeight="1" x14ac:dyDescent="0.2">
      <c r="A19" s="491" t="e">
        <f>IF(PS_Products,"Other Costs of Goods",IF(PS_Nonprofit,"Other Costs of Funding","Other Costs of Sales"))</f>
        <v>#REF!</v>
      </c>
      <c r="B19" s="482">
        <v>0</v>
      </c>
      <c r="C19" s="482">
        <v>0</v>
      </c>
      <c r="D19" s="482">
        <v>0</v>
      </c>
      <c r="E19" s="482">
        <v>0</v>
      </c>
      <c r="F19" s="482">
        <v>0</v>
      </c>
      <c r="G19" s="482">
        <v>0</v>
      </c>
      <c r="H19" s="482">
        <v>0</v>
      </c>
      <c r="I19" s="482">
        <v>0</v>
      </c>
      <c r="J19" s="482">
        <v>0</v>
      </c>
      <c r="K19" s="482">
        <v>0</v>
      </c>
      <c r="L19" s="482">
        <v>0</v>
      </c>
      <c r="M19" s="482">
        <v>0</v>
      </c>
      <c r="N19" s="482">
        <v>0</v>
      </c>
      <c r="O19" s="438">
        <f>SUM(C19:N19)</f>
        <v>0</v>
      </c>
      <c r="P19" s="483">
        <v>0</v>
      </c>
      <c r="Q19" s="484">
        <v>0</v>
      </c>
      <c r="R19" s="483">
        <v>0</v>
      </c>
      <c r="S19" s="484">
        <v>0</v>
      </c>
    </row>
    <row r="20" spans="1:19" ht="12.4" customHeight="1" x14ac:dyDescent="0.2">
      <c r="A20" s="14"/>
      <c r="B20" s="21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5"/>
      <c r="P20" s="44"/>
      <c r="Q20" s="45"/>
      <c r="R20" s="44"/>
      <c r="S20" s="45"/>
    </row>
    <row r="21" spans="1:19" ht="12.4" customHeight="1" thickBot="1" x14ac:dyDescent="0.25">
      <c r="A21" s="46" t="s">
        <v>56</v>
      </c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8"/>
      <c r="P21" s="449"/>
      <c r="Q21" s="448"/>
      <c r="R21" s="449"/>
      <c r="S21" s="448"/>
    </row>
    <row r="22" spans="1:19" ht="12.4" customHeight="1" x14ac:dyDescent="0.2">
      <c r="A22" s="29" t="s">
        <v>199</v>
      </c>
      <c r="B22" s="479">
        <v>0</v>
      </c>
      <c r="C22" s="479">
        <v>0</v>
      </c>
      <c r="D22" s="479">
        <v>0</v>
      </c>
      <c r="E22" s="479">
        <v>0</v>
      </c>
      <c r="F22" s="479">
        <v>0</v>
      </c>
      <c r="G22" s="479">
        <v>0</v>
      </c>
      <c r="H22" s="479">
        <v>0</v>
      </c>
      <c r="I22" s="479">
        <v>0</v>
      </c>
      <c r="J22" s="479">
        <v>0</v>
      </c>
      <c r="K22" s="479">
        <v>0</v>
      </c>
      <c r="L22" s="479">
        <v>0</v>
      </c>
      <c r="M22" s="479">
        <v>0</v>
      </c>
      <c r="N22" s="479">
        <v>0</v>
      </c>
      <c r="O22" s="438">
        <f>SUM(C22:N22)</f>
        <v>0</v>
      </c>
      <c r="P22" s="480">
        <v>0</v>
      </c>
      <c r="Q22" s="481">
        <v>0</v>
      </c>
      <c r="R22" s="480">
        <v>0</v>
      </c>
      <c r="S22" s="481">
        <v>0</v>
      </c>
    </row>
    <row r="23" spans="1:19" ht="12.4" customHeight="1" x14ac:dyDescent="0.2">
      <c r="A23" s="29" t="s">
        <v>157</v>
      </c>
      <c r="B23" s="482">
        <v>0</v>
      </c>
      <c r="C23" s="482">
        <v>0</v>
      </c>
      <c r="D23" s="482">
        <v>0</v>
      </c>
      <c r="E23" s="482">
        <v>0</v>
      </c>
      <c r="F23" s="482">
        <v>0</v>
      </c>
      <c r="G23" s="482">
        <v>0</v>
      </c>
      <c r="H23" s="482">
        <v>0</v>
      </c>
      <c r="I23" s="482">
        <v>0</v>
      </c>
      <c r="J23" s="482">
        <v>0</v>
      </c>
      <c r="K23" s="482">
        <v>0</v>
      </c>
      <c r="L23" s="482">
        <v>0</v>
      </c>
      <c r="M23" s="482">
        <v>0</v>
      </c>
      <c r="N23" s="482">
        <v>0</v>
      </c>
      <c r="O23" s="438">
        <f>SUM(C23:N23)</f>
        <v>0</v>
      </c>
      <c r="P23" s="483">
        <v>0</v>
      </c>
      <c r="Q23" s="484">
        <v>0</v>
      </c>
      <c r="R23" s="483">
        <v>0</v>
      </c>
      <c r="S23" s="484">
        <v>0</v>
      </c>
    </row>
    <row r="24" spans="1:19" ht="12.4" customHeight="1" x14ac:dyDescent="0.2">
      <c r="A24" s="29" t="e">
        <f>IF(PS_Nonprofit,"Funding and Marketing Expenses","Sales and Marketing Expenses")</f>
        <v>#REF!</v>
      </c>
      <c r="B24" s="482">
        <v>0</v>
      </c>
      <c r="C24" s="482">
        <v>0</v>
      </c>
      <c r="D24" s="482">
        <v>0</v>
      </c>
      <c r="E24" s="482">
        <v>0</v>
      </c>
      <c r="F24" s="482">
        <v>0</v>
      </c>
      <c r="G24" s="482">
        <v>0</v>
      </c>
      <c r="H24" s="482">
        <v>0</v>
      </c>
      <c r="I24" s="482">
        <v>0</v>
      </c>
      <c r="J24" s="482">
        <v>0</v>
      </c>
      <c r="K24" s="482">
        <v>0</v>
      </c>
      <c r="L24" s="482">
        <v>0</v>
      </c>
      <c r="M24" s="482">
        <v>0</v>
      </c>
      <c r="N24" s="482">
        <v>0</v>
      </c>
      <c r="O24" s="438">
        <f>SUM(C24:N24)</f>
        <v>0</v>
      </c>
      <c r="P24" s="483">
        <v>0</v>
      </c>
      <c r="Q24" s="484">
        <v>0</v>
      </c>
      <c r="R24" s="483">
        <v>0</v>
      </c>
      <c r="S24" s="484">
        <v>0</v>
      </c>
    </row>
    <row r="25" spans="1:19" ht="12.4" customHeight="1" x14ac:dyDescent="0.2">
      <c r="A25" s="490" t="s">
        <v>5</v>
      </c>
      <c r="B25" s="482">
        <v>0</v>
      </c>
      <c r="C25" s="482">
        <v>0</v>
      </c>
      <c r="D25" s="482">
        <v>0</v>
      </c>
      <c r="E25" s="482">
        <v>0</v>
      </c>
      <c r="F25" s="482">
        <v>0</v>
      </c>
      <c r="G25" s="482">
        <v>0</v>
      </c>
      <c r="H25" s="482">
        <v>0</v>
      </c>
      <c r="I25" s="482">
        <v>0</v>
      </c>
      <c r="J25" s="482">
        <v>0</v>
      </c>
      <c r="K25" s="482">
        <v>0</v>
      </c>
      <c r="L25" s="482">
        <v>0</v>
      </c>
      <c r="M25" s="482">
        <v>0</v>
      </c>
      <c r="N25" s="482">
        <v>0</v>
      </c>
      <c r="O25" s="438">
        <f>SUM(C25:N25)</f>
        <v>0</v>
      </c>
      <c r="P25" s="483">
        <v>0</v>
      </c>
      <c r="Q25" s="484">
        <v>0</v>
      </c>
      <c r="R25" s="483">
        <v>0</v>
      </c>
      <c r="S25" s="484">
        <v>0</v>
      </c>
    </row>
    <row r="26" spans="1:19" ht="12.4" customHeight="1" x14ac:dyDescent="0.2">
      <c r="A26" s="492" t="s">
        <v>5</v>
      </c>
      <c r="B26" s="482">
        <v>0</v>
      </c>
      <c r="C26" s="482">
        <v>0</v>
      </c>
      <c r="D26" s="482">
        <v>0</v>
      </c>
      <c r="E26" s="482">
        <v>0</v>
      </c>
      <c r="F26" s="482">
        <v>0</v>
      </c>
      <c r="G26" s="482">
        <v>0</v>
      </c>
      <c r="H26" s="482">
        <v>0</v>
      </c>
      <c r="I26" s="482">
        <v>0</v>
      </c>
      <c r="J26" s="482">
        <v>0</v>
      </c>
      <c r="K26" s="482">
        <v>0</v>
      </c>
      <c r="L26" s="482">
        <v>0</v>
      </c>
      <c r="M26" s="482">
        <v>0</v>
      </c>
      <c r="N26" s="482">
        <v>0</v>
      </c>
      <c r="O26" s="438">
        <f>SUM(C26:N26)</f>
        <v>0</v>
      </c>
      <c r="P26" s="483">
        <v>0</v>
      </c>
      <c r="Q26" s="484">
        <v>0</v>
      </c>
      <c r="R26" s="483">
        <v>0</v>
      </c>
      <c r="S26" s="484">
        <v>0</v>
      </c>
    </row>
    <row r="27" spans="1:19" ht="12.4" customHeight="1" x14ac:dyDescent="0.2">
      <c r="A27" s="14"/>
      <c r="B27" s="1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5"/>
      <c r="P27" s="44"/>
      <c r="Q27" s="45"/>
      <c r="R27" s="44"/>
      <c r="S27" s="45"/>
    </row>
    <row r="28" spans="1:19" ht="12.4" customHeight="1" thickBot="1" x14ac:dyDescent="0.25">
      <c r="A28" s="46" t="s">
        <v>160</v>
      </c>
      <c r="B28" s="446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8"/>
      <c r="P28" s="449"/>
      <c r="Q28" s="448"/>
      <c r="R28" s="449"/>
      <c r="S28" s="448"/>
    </row>
    <row r="29" spans="1:19" ht="12.4" customHeight="1" x14ac:dyDescent="0.2">
      <c r="A29" s="29" t="s">
        <v>123</v>
      </c>
      <c r="B29" s="479">
        <v>0</v>
      </c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438">
        <f t="shared" ref="O29:O34" si="3">SUM(C29:N29)</f>
        <v>0</v>
      </c>
      <c r="P29" s="480">
        <v>0</v>
      </c>
      <c r="Q29" s="481">
        <v>0</v>
      </c>
      <c r="R29" s="480">
        <v>0</v>
      </c>
      <c r="S29" s="481">
        <v>0</v>
      </c>
    </row>
    <row r="30" spans="1:19" ht="12.4" customHeight="1" x14ac:dyDescent="0.2">
      <c r="A30" s="29" t="s">
        <v>40</v>
      </c>
      <c r="B30" s="482">
        <v>0</v>
      </c>
      <c r="C30" s="482">
        <v>0</v>
      </c>
      <c r="D30" s="482">
        <v>0</v>
      </c>
      <c r="E30" s="482">
        <v>0</v>
      </c>
      <c r="F30" s="482">
        <v>0</v>
      </c>
      <c r="G30" s="482">
        <v>0</v>
      </c>
      <c r="H30" s="482">
        <v>0</v>
      </c>
      <c r="I30" s="482">
        <v>0</v>
      </c>
      <c r="J30" s="482">
        <v>0</v>
      </c>
      <c r="K30" s="482">
        <v>0</v>
      </c>
      <c r="L30" s="482">
        <v>0</v>
      </c>
      <c r="M30" s="482">
        <v>0</v>
      </c>
      <c r="N30" s="482">
        <v>0</v>
      </c>
      <c r="O30" s="438">
        <f t="shared" si="3"/>
        <v>0</v>
      </c>
      <c r="P30" s="483">
        <v>0</v>
      </c>
      <c r="Q30" s="484">
        <v>0</v>
      </c>
      <c r="R30" s="483">
        <v>0</v>
      </c>
      <c r="S30" s="484">
        <v>0</v>
      </c>
    </row>
    <row r="31" spans="1:19" ht="12.4" customHeight="1" x14ac:dyDescent="0.2">
      <c r="A31" s="29" t="s">
        <v>115</v>
      </c>
      <c r="B31" s="482">
        <v>0</v>
      </c>
      <c r="C31" s="482">
        <v>0</v>
      </c>
      <c r="D31" s="482">
        <v>0</v>
      </c>
      <c r="E31" s="482">
        <v>0</v>
      </c>
      <c r="F31" s="482">
        <v>0</v>
      </c>
      <c r="G31" s="482">
        <v>0</v>
      </c>
      <c r="H31" s="482">
        <v>0</v>
      </c>
      <c r="I31" s="482">
        <v>0</v>
      </c>
      <c r="J31" s="482">
        <v>0</v>
      </c>
      <c r="K31" s="482">
        <v>0</v>
      </c>
      <c r="L31" s="482">
        <v>0</v>
      </c>
      <c r="M31" s="482">
        <v>0</v>
      </c>
      <c r="N31" s="482">
        <v>0</v>
      </c>
      <c r="O31" s="438">
        <f t="shared" si="3"/>
        <v>0</v>
      </c>
      <c r="P31" s="483">
        <v>0</v>
      </c>
      <c r="Q31" s="484">
        <v>0</v>
      </c>
      <c r="R31" s="483">
        <v>0</v>
      </c>
      <c r="S31" s="484">
        <v>0</v>
      </c>
    </row>
    <row r="32" spans="1:19" ht="12.4" customHeight="1" x14ac:dyDescent="0.2">
      <c r="A32" s="490" t="s">
        <v>153</v>
      </c>
      <c r="B32" s="482">
        <v>0</v>
      </c>
      <c r="C32" s="482">
        <v>0</v>
      </c>
      <c r="D32" s="482">
        <v>0</v>
      </c>
      <c r="E32" s="482">
        <v>0</v>
      </c>
      <c r="F32" s="482">
        <v>0</v>
      </c>
      <c r="G32" s="482">
        <v>0</v>
      </c>
      <c r="H32" s="482">
        <v>0</v>
      </c>
      <c r="I32" s="482">
        <v>0</v>
      </c>
      <c r="J32" s="482">
        <v>0</v>
      </c>
      <c r="K32" s="482">
        <v>0</v>
      </c>
      <c r="L32" s="482">
        <v>0</v>
      </c>
      <c r="M32" s="482">
        <v>0</v>
      </c>
      <c r="N32" s="482">
        <v>0</v>
      </c>
      <c r="O32" s="438">
        <f t="shared" si="3"/>
        <v>0</v>
      </c>
      <c r="P32" s="483">
        <v>0</v>
      </c>
      <c r="Q32" s="484">
        <v>0</v>
      </c>
      <c r="R32" s="483">
        <v>0</v>
      </c>
      <c r="S32" s="484">
        <v>0</v>
      </c>
    </row>
    <row r="33" spans="1:40" ht="12.4" customHeight="1" thickBot="1" x14ac:dyDescent="0.25">
      <c r="A33" s="486" t="s">
        <v>153</v>
      </c>
      <c r="B33" s="487">
        <v>0</v>
      </c>
      <c r="C33" s="487">
        <v>0</v>
      </c>
      <c r="D33" s="487">
        <v>0</v>
      </c>
      <c r="E33" s="487">
        <v>0</v>
      </c>
      <c r="F33" s="487">
        <v>0</v>
      </c>
      <c r="G33" s="487">
        <v>0</v>
      </c>
      <c r="H33" s="487">
        <v>0</v>
      </c>
      <c r="I33" s="487">
        <v>0</v>
      </c>
      <c r="J33" s="487">
        <v>0</v>
      </c>
      <c r="K33" s="487">
        <v>0</v>
      </c>
      <c r="L33" s="487">
        <v>0</v>
      </c>
      <c r="M33" s="487">
        <v>0</v>
      </c>
      <c r="N33" s="487">
        <v>0</v>
      </c>
      <c r="O33" s="438">
        <f t="shared" si="3"/>
        <v>0</v>
      </c>
      <c r="P33" s="488">
        <v>0</v>
      </c>
      <c r="Q33" s="489">
        <v>0</v>
      </c>
      <c r="R33" s="488">
        <v>0</v>
      </c>
      <c r="S33" s="489">
        <v>0</v>
      </c>
    </row>
    <row r="34" spans="1:40" ht="12.4" customHeight="1" x14ac:dyDescent="0.2">
      <c r="A34" s="33" t="s">
        <v>116</v>
      </c>
      <c r="B34" s="443">
        <f t="shared" ref="B34:N34" si="4">SUM(B17:B33)</f>
        <v>0</v>
      </c>
      <c r="C34" s="443">
        <f t="shared" si="4"/>
        <v>0</v>
      </c>
      <c r="D34" s="443">
        <f t="shared" si="4"/>
        <v>0</v>
      </c>
      <c r="E34" s="443">
        <f t="shared" si="4"/>
        <v>0</v>
      </c>
      <c r="F34" s="443">
        <f t="shared" si="4"/>
        <v>0</v>
      </c>
      <c r="G34" s="443">
        <f t="shared" si="4"/>
        <v>0</v>
      </c>
      <c r="H34" s="443">
        <f t="shared" si="4"/>
        <v>0</v>
      </c>
      <c r="I34" s="443">
        <f t="shared" si="4"/>
        <v>0</v>
      </c>
      <c r="J34" s="443">
        <f t="shared" si="4"/>
        <v>0</v>
      </c>
      <c r="K34" s="443">
        <f t="shared" si="4"/>
        <v>0</v>
      </c>
      <c r="L34" s="443">
        <f t="shared" si="4"/>
        <v>0</v>
      </c>
      <c r="M34" s="443">
        <f t="shared" si="4"/>
        <v>0</v>
      </c>
      <c r="N34" s="443">
        <f t="shared" si="4"/>
        <v>0</v>
      </c>
      <c r="O34" s="444">
        <f t="shared" si="3"/>
        <v>0</v>
      </c>
      <c r="P34" s="443">
        <f>SUM(P17:P33)</f>
        <v>0</v>
      </c>
      <c r="Q34" s="444">
        <f>SUM(Q17:Q33)</f>
        <v>0</v>
      </c>
      <c r="R34" s="443">
        <f>SUM(R17:R33)</f>
        <v>0</v>
      </c>
      <c r="S34" s="444">
        <f>SUM(S17:S33)</f>
        <v>0</v>
      </c>
    </row>
    <row r="35" spans="1:40" ht="12.4" customHeight="1" x14ac:dyDescent="0.2">
      <c r="A35" s="29"/>
      <c r="B35" s="439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339"/>
      <c r="P35" s="338"/>
      <c r="Q35" s="339"/>
      <c r="R35" s="338"/>
      <c r="S35" s="339"/>
    </row>
    <row r="36" spans="1:40" s="1" customFormat="1" ht="16.149999999999999" customHeight="1" thickBot="1" x14ac:dyDescent="0.25">
      <c r="A36" s="25" t="s">
        <v>38</v>
      </c>
      <c r="B36" s="7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33"/>
      <c r="P36" s="84"/>
      <c r="Q36" s="59"/>
      <c r="R36" s="84"/>
      <c r="S36" s="59"/>
      <c r="T36" s="22"/>
      <c r="X36" s="22"/>
      <c r="Y36" s="22"/>
      <c r="AA36" s="22"/>
      <c r="AH36"/>
      <c r="AL36"/>
      <c r="AN36"/>
    </row>
    <row r="37" spans="1:40" ht="12.4" customHeight="1" x14ac:dyDescent="0.2">
      <c r="A37" s="29" t="s">
        <v>4</v>
      </c>
      <c r="B37" s="450">
        <f t="shared" ref="B37:S37" si="5">B4+B12-B34</f>
        <v>0</v>
      </c>
      <c r="C37" s="437">
        <f t="shared" si="5"/>
        <v>0</v>
      </c>
      <c r="D37" s="437">
        <f t="shared" si="5"/>
        <v>0</v>
      </c>
      <c r="E37" s="437">
        <f t="shared" si="5"/>
        <v>0</v>
      </c>
      <c r="F37" s="437">
        <f t="shared" si="5"/>
        <v>0</v>
      </c>
      <c r="G37" s="437">
        <f t="shared" si="5"/>
        <v>0</v>
      </c>
      <c r="H37" s="437">
        <f t="shared" si="5"/>
        <v>0</v>
      </c>
      <c r="I37" s="437">
        <f t="shared" si="5"/>
        <v>0</v>
      </c>
      <c r="J37" s="437">
        <f t="shared" si="5"/>
        <v>0</v>
      </c>
      <c r="K37" s="437">
        <f t="shared" si="5"/>
        <v>0</v>
      </c>
      <c r="L37" s="437">
        <f t="shared" si="5"/>
        <v>0</v>
      </c>
      <c r="M37" s="437">
        <f t="shared" si="5"/>
        <v>0</v>
      </c>
      <c r="N37" s="437">
        <f t="shared" si="5"/>
        <v>0</v>
      </c>
      <c r="O37" s="438">
        <f t="shared" si="5"/>
        <v>0</v>
      </c>
      <c r="P37" s="437">
        <f t="shared" si="5"/>
        <v>0</v>
      </c>
      <c r="Q37" s="438">
        <f t="shared" si="5"/>
        <v>0</v>
      </c>
      <c r="R37" s="437">
        <f t="shared" si="5"/>
        <v>0</v>
      </c>
      <c r="S37" s="438">
        <f t="shared" si="5"/>
        <v>0</v>
      </c>
    </row>
    <row r="38" spans="1:40" ht="12.4" customHeight="1" x14ac:dyDescent="0.2">
      <c r="A38" s="29"/>
      <c r="B38" s="439"/>
      <c r="C38" s="437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9"/>
      <c r="P38" s="338"/>
      <c r="Q38" s="339"/>
      <c r="R38" s="338"/>
      <c r="S38" s="339"/>
    </row>
    <row r="39" spans="1:40" s="1" customFormat="1" ht="16.149999999999999" customHeight="1" thickBot="1" x14ac:dyDescent="0.25">
      <c r="A39" s="25" t="e">
        <f>IF(PS_Nonprofit,"Surplus Before Interest and Taxes","Profit Before Interest and Taxes")</f>
        <v>#REF!</v>
      </c>
      <c r="B39" s="74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33"/>
      <c r="P39" s="84"/>
      <c r="Q39" s="59"/>
      <c r="R39" s="84"/>
      <c r="S39" s="59"/>
      <c r="T39" s="22"/>
      <c r="X39" s="22"/>
      <c r="Y39" s="22"/>
      <c r="AA39" s="22"/>
      <c r="AH39"/>
      <c r="AL39"/>
      <c r="AN39"/>
    </row>
    <row r="40" spans="1:40" ht="12.4" customHeight="1" x14ac:dyDescent="0.2">
      <c r="A40" s="47" t="e">
        <f>IF(PS_Nonprofit=TRUE,"Funding","Sales")</f>
        <v>#REF!</v>
      </c>
      <c r="B40" s="439"/>
      <c r="C40" s="437">
        <f t="shared" ref="C40:S40" si="6">C9</f>
        <v>0</v>
      </c>
      <c r="D40" s="437">
        <f t="shared" si="6"/>
        <v>0</v>
      </c>
      <c r="E40" s="437">
        <f t="shared" si="6"/>
        <v>0</v>
      </c>
      <c r="F40" s="437">
        <f t="shared" si="6"/>
        <v>0</v>
      </c>
      <c r="G40" s="437">
        <f t="shared" si="6"/>
        <v>0</v>
      </c>
      <c r="H40" s="437">
        <f t="shared" si="6"/>
        <v>0</v>
      </c>
      <c r="I40" s="437">
        <f t="shared" si="6"/>
        <v>0</v>
      </c>
      <c r="J40" s="437">
        <f t="shared" si="6"/>
        <v>0</v>
      </c>
      <c r="K40" s="437">
        <f t="shared" si="6"/>
        <v>0</v>
      </c>
      <c r="L40" s="437">
        <f t="shared" si="6"/>
        <v>0</v>
      </c>
      <c r="M40" s="437">
        <f t="shared" si="6"/>
        <v>0</v>
      </c>
      <c r="N40" s="437">
        <f t="shared" si="6"/>
        <v>0</v>
      </c>
      <c r="O40" s="438">
        <f t="shared" si="6"/>
        <v>0</v>
      </c>
      <c r="P40" s="437">
        <f t="shared" si="6"/>
        <v>0</v>
      </c>
      <c r="Q40" s="438">
        <f t="shared" si="6"/>
        <v>0</v>
      </c>
      <c r="R40" s="437">
        <f t="shared" si="6"/>
        <v>0</v>
      </c>
      <c r="S40" s="438">
        <f t="shared" si="6"/>
        <v>0</v>
      </c>
    </row>
    <row r="41" spans="1:40" ht="12.4" customHeight="1" x14ac:dyDescent="0.2">
      <c r="A41" s="29" t="e">
        <f>IF(PS_Nonprofit=TRUE,"  Less Cost of Funding","  Less Cost of Sales")</f>
        <v>#REF!</v>
      </c>
      <c r="B41" s="439"/>
      <c r="C41" s="437">
        <f t="shared" ref="C41:S41" si="7">-SUM(C17:C19)</f>
        <v>0</v>
      </c>
      <c r="D41" s="437">
        <f t="shared" si="7"/>
        <v>0</v>
      </c>
      <c r="E41" s="437">
        <f t="shared" si="7"/>
        <v>0</v>
      </c>
      <c r="F41" s="437">
        <f t="shared" si="7"/>
        <v>0</v>
      </c>
      <c r="G41" s="437">
        <f t="shared" si="7"/>
        <v>0</v>
      </c>
      <c r="H41" s="437">
        <f t="shared" si="7"/>
        <v>0</v>
      </c>
      <c r="I41" s="437">
        <f t="shared" si="7"/>
        <v>0</v>
      </c>
      <c r="J41" s="437">
        <f t="shared" si="7"/>
        <v>0</v>
      </c>
      <c r="K41" s="437">
        <f t="shared" si="7"/>
        <v>0</v>
      </c>
      <c r="L41" s="437">
        <f t="shared" si="7"/>
        <v>0</v>
      </c>
      <c r="M41" s="437">
        <f t="shared" si="7"/>
        <v>0</v>
      </c>
      <c r="N41" s="437">
        <f t="shared" si="7"/>
        <v>0</v>
      </c>
      <c r="O41" s="438">
        <f t="shared" si="7"/>
        <v>0</v>
      </c>
      <c r="P41" s="437">
        <f t="shared" si="7"/>
        <v>0</v>
      </c>
      <c r="Q41" s="438">
        <f t="shared" si="7"/>
        <v>0</v>
      </c>
      <c r="R41" s="437">
        <f t="shared" si="7"/>
        <v>0</v>
      </c>
      <c r="S41" s="438">
        <f t="shared" si="7"/>
        <v>0</v>
      </c>
    </row>
    <row r="42" spans="1:40" ht="12.4" customHeight="1" x14ac:dyDescent="0.2">
      <c r="A42" s="47" t="e">
        <f>IF(PS_Nonprofit,"Gross Surplus","Gross Margin")</f>
        <v>#REF!</v>
      </c>
      <c r="B42" s="439"/>
      <c r="C42" s="437">
        <f t="shared" ref="C42:S42" si="8">C40+C41</f>
        <v>0</v>
      </c>
      <c r="D42" s="437">
        <f t="shared" si="8"/>
        <v>0</v>
      </c>
      <c r="E42" s="437">
        <f t="shared" si="8"/>
        <v>0</v>
      </c>
      <c r="F42" s="437">
        <f t="shared" si="8"/>
        <v>0</v>
      </c>
      <c r="G42" s="437">
        <f t="shared" si="8"/>
        <v>0</v>
      </c>
      <c r="H42" s="437">
        <f t="shared" si="8"/>
        <v>0</v>
      </c>
      <c r="I42" s="437">
        <f t="shared" si="8"/>
        <v>0</v>
      </c>
      <c r="J42" s="437">
        <f t="shared" si="8"/>
        <v>0</v>
      </c>
      <c r="K42" s="437">
        <f t="shared" si="8"/>
        <v>0</v>
      </c>
      <c r="L42" s="437">
        <f t="shared" si="8"/>
        <v>0</v>
      </c>
      <c r="M42" s="437">
        <f t="shared" si="8"/>
        <v>0</v>
      </c>
      <c r="N42" s="437">
        <f t="shared" si="8"/>
        <v>0</v>
      </c>
      <c r="O42" s="438">
        <f t="shared" si="8"/>
        <v>0</v>
      </c>
      <c r="P42" s="437">
        <f t="shared" si="8"/>
        <v>0</v>
      </c>
      <c r="Q42" s="438">
        <f t="shared" si="8"/>
        <v>0</v>
      </c>
      <c r="R42" s="437">
        <f t="shared" si="8"/>
        <v>0</v>
      </c>
      <c r="S42" s="438">
        <f t="shared" si="8"/>
        <v>0</v>
      </c>
    </row>
    <row r="43" spans="1:40" ht="12.4" customHeight="1" thickBot="1" x14ac:dyDescent="0.25">
      <c r="A43" s="29" t="s">
        <v>242</v>
      </c>
      <c r="B43" s="439"/>
      <c r="C43" s="437">
        <f t="shared" ref="C43:S43" si="9">-SUM(C22:C26)</f>
        <v>0</v>
      </c>
      <c r="D43" s="437">
        <f t="shared" si="9"/>
        <v>0</v>
      </c>
      <c r="E43" s="437">
        <f t="shared" si="9"/>
        <v>0</v>
      </c>
      <c r="F43" s="437">
        <f t="shared" si="9"/>
        <v>0</v>
      </c>
      <c r="G43" s="437">
        <f t="shared" si="9"/>
        <v>0</v>
      </c>
      <c r="H43" s="437">
        <f t="shared" si="9"/>
        <v>0</v>
      </c>
      <c r="I43" s="437">
        <f t="shared" si="9"/>
        <v>0</v>
      </c>
      <c r="J43" s="437">
        <f t="shared" si="9"/>
        <v>0</v>
      </c>
      <c r="K43" s="437">
        <f t="shared" si="9"/>
        <v>0</v>
      </c>
      <c r="L43" s="437">
        <f t="shared" si="9"/>
        <v>0</v>
      </c>
      <c r="M43" s="437">
        <f t="shared" si="9"/>
        <v>0</v>
      </c>
      <c r="N43" s="437">
        <f t="shared" si="9"/>
        <v>0</v>
      </c>
      <c r="O43" s="438">
        <f t="shared" si="9"/>
        <v>0</v>
      </c>
      <c r="P43" s="437">
        <f t="shared" si="9"/>
        <v>0</v>
      </c>
      <c r="Q43" s="438">
        <f t="shared" si="9"/>
        <v>0</v>
      </c>
      <c r="R43" s="437">
        <f t="shared" si="9"/>
        <v>0</v>
      </c>
      <c r="S43" s="438">
        <f t="shared" si="9"/>
        <v>0</v>
      </c>
    </row>
    <row r="44" spans="1:40" ht="12.4" customHeight="1" x14ac:dyDescent="0.2">
      <c r="A44" s="33" t="e">
        <f>IF(PS_Nonprofit,"Surplus Before Interest and Taxes","Profit Before Interest and Taxes")</f>
        <v>#REF!</v>
      </c>
      <c r="B44" s="451"/>
      <c r="C44" s="443">
        <f t="shared" ref="C44:S44" si="10">C42+C43</f>
        <v>0</v>
      </c>
      <c r="D44" s="443">
        <f t="shared" si="10"/>
        <v>0</v>
      </c>
      <c r="E44" s="443">
        <f t="shared" si="10"/>
        <v>0</v>
      </c>
      <c r="F44" s="443">
        <f t="shared" si="10"/>
        <v>0</v>
      </c>
      <c r="G44" s="443">
        <f t="shared" si="10"/>
        <v>0</v>
      </c>
      <c r="H44" s="443">
        <f t="shared" si="10"/>
        <v>0</v>
      </c>
      <c r="I44" s="443">
        <f t="shared" si="10"/>
        <v>0</v>
      </c>
      <c r="J44" s="443">
        <f t="shared" si="10"/>
        <v>0</v>
      </c>
      <c r="K44" s="443">
        <f t="shared" si="10"/>
        <v>0</v>
      </c>
      <c r="L44" s="443">
        <f t="shared" si="10"/>
        <v>0</v>
      </c>
      <c r="M44" s="443">
        <f t="shared" si="10"/>
        <v>0</v>
      </c>
      <c r="N44" s="443">
        <f t="shared" si="10"/>
        <v>0</v>
      </c>
      <c r="O44" s="444">
        <f t="shared" si="10"/>
        <v>0</v>
      </c>
      <c r="P44" s="443">
        <f t="shared" si="10"/>
        <v>0</v>
      </c>
      <c r="Q44" s="444">
        <f t="shared" si="10"/>
        <v>0</v>
      </c>
      <c r="R44" s="443">
        <f t="shared" si="10"/>
        <v>0</v>
      </c>
      <c r="S44" s="444">
        <f t="shared" si="10"/>
        <v>0</v>
      </c>
    </row>
    <row r="45" spans="1:40" ht="12.4" customHeight="1" thickBot="1" x14ac:dyDescent="0.25">
      <c r="A45" s="29"/>
      <c r="B45" s="439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9"/>
      <c r="P45" s="338"/>
      <c r="Q45" s="339"/>
      <c r="R45" s="338"/>
      <c r="S45" s="339"/>
    </row>
    <row r="46" spans="1:40" ht="16.149999999999999" customHeight="1" x14ac:dyDescent="0.2">
      <c r="A46" s="48" t="s">
        <v>234</v>
      </c>
      <c r="B46" s="452"/>
      <c r="C46" s="453">
        <f t="shared" ref="C46:S46" si="11">C12-C34</f>
        <v>0</v>
      </c>
      <c r="D46" s="453">
        <f t="shared" si="11"/>
        <v>0</v>
      </c>
      <c r="E46" s="453">
        <f t="shared" si="11"/>
        <v>0</v>
      </c>
      <c r="F46" s="453">
        <f t="shared" si="11"/>
        <v>0</v>
      </c>
      <c r="G46" s="453">
        <f t="shared" si="11"/>
        <v>0</v>
      </c>
      <c r="H46" s="453">
        <f t="shared" si="11"/>
        <v>0</v>
      </c>
      <c r="I46" s="453">
        <f t="shared" si="11"/>
        <v>0</v>
      </c>
      <c r="J46" s="453">
        <f t="shared" si="11"/>
        <v>0</v>
      </c>
      <c r="K46" s="453">
        <f t="shared" si="11"/>
        <v>0</v>
      </c>
      <c r="L46" s="453">
        <f t="shared" si="11"/>
        <v>0</v>
      </c>
      <c r="M46" s="453">
        <f t="shared" si="11"/>
        <v>0</v>
      </c>
      <c r="N46" s="453">
        <f t="shared" si="11"/>
        <v>0</v>
      </c>
      <c r="O46" s="454">
        <f t="shared" si="11"/>
        <v>0</v>
      </c>
      <c r="P46" s="453">
        <f t="shared" si="11"/>
        <v>0</v>
      </c>
      <c r="Q46" s="454">
        <f t="shared" si="11"/>
        <v>0</v>
      </c>
      <c r="R46" s="453">
        <f t="shared" si="11"/>
        <v>0</v>
      </c>
      <c r="S46" s="454">
        <f t="shared" si="11"/>
        <v>0</v>
      </c>
    </row>
    <row r="47" spans="1:40" ht="12.4" customHeight="1" x14ac:dyDescent="0.2">
      <c r="AI47" s="1"/>
      <c r="AJ47" s="1"/>
      <c r="AK47" s="1"/>
    </row>
    <row r="55" spans="4:12" ht="12.4" customHeight="1" x14ac:dyDescent="0.2">
      <c r="F55" s="34"/>
      <c r="G55" s="34"/>
      <c r="K55" s="34"/>
      <c r="L55" s="34"/>
    </row>
    <row r="56" spans="4:12" ht="12.4" customHeight="1" x14ac:dyDescent="0.2">
      <c r="F56" s="34"/>
      <c r="G56" s="34"/>
      <c r="K56" s="34"/>
      <c r="L56" s="34"/>
    </row>
    <row r="57" spans="4:12" ht="12.4" customHeight="1" x14ac:dyDescent="0.2">
      <c r="F57" s="34"/>
      <c r="G57" s="34"/>
      <c r="K57" s="34"/>
      <c r="L57" s="34"/>
    </row>
    <row r="58" spans="4:12" ht="12.4" customHeight="1" x14ac:dyDescent="0.2">
      <c r="F58" s="34"/>
      <c r="G58" s="34"/>
      <c r="K58" s="34"/>
      <c r="L58" s="34"/>
    </row>
    <row r="59" spans="4:12" ht="12.4" customHeight="1" x14ac:dyDescent="0.2">
      <c r="F59" s="34"/>
      <c r="G59" s="34"/>
      <c r="K59" s="34"/>
      <c r="L59" s="34"/>
    </row>
    <row r="60" spans="4:12" ht="12.4" customHeight="1" x14ac:dyDescent="0.2">
      <c r="F60" s="34"/>
      <c r="G60" s="34"/>
      <c r="K60" s="34"/>
      <c r="L60" s="34"/>
    </row>
    <row r="61" spans="4:12" ht="12.4" customHeight="1" x14ac:dyDescent="0.2">
      <c r="F61" s="34"/>
      <c r="G61" s="34"/>
      <c r="K61" s="34"/>
      <c r="L61" s="34"/>
    </row>
    <row r="62" spans="4:12" ht="12.4" customHeight="1" x14ac:dyDescent="0.2">
      <c r="E62" s="34"/>
      <c r="J62" s="34"/>
    </row>
    <row r="63" spans="4:12" ht="12.4" customHeight="1" x14ac:dyDescent="0.2">
      <c r="D63" s="1"/>
      <c r="E63" s="1"/>
      <c r="I63" s="1"/>
      <c r="J63" s="1"/>
    </row>
    <row r="68" spans="13:13" ht="12.4" customHeight="1" x14ac:dyDescent="0.2">
      <c r="M68" s="1"/>
    </row>
    <row r="69" spans="13:13" ht="12.4" customHeight="1" x14ac:dyDescent="0.2">
      <c r="M69" s="1"/>
    </row>
    <row r="70" spans="13:13" ht="12.4" customHeight="1" x14ac:dyDescent="0.2">
      <c r="M70" s="1"/>
    </row>
    <row r="73" spans="13:13" ht="12.4" customHeight="1" x14ac:dyDescent="0.2">
      <c r="M73" s="1"/>
    </row>
    <row r="81" spans="2:6" ht="12.4" customHeight="1" x14ac:dyDescent="0.2">
      <c r="E81" s="1"/>
      <c r="F81" s="49"/>
    </row>
    <row r="92" spans="2:6" ht="12.4" customHeight="1" x14ac:dyDescent="0.2">
      <c r="B92" s="1"/>
    </row>
    <row r="95" spans="2:6" ht="12.4" customHeight="1" x14ac:dyDescent="0.2">
      <c r="B95" s="1"/>
    </row>
  </sheetData>
  <pageMargins left="0.75" right="0.75" top="1" bottom="1" header="0.5" footer="0.5"/>
  <pageSetup scale="3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showGridLines="0" workbookViewId="0">
      <pane xSplit="1" ySplit="1" topLeftCell="F2" activePane="bottomRight" state="frozen"/>
      <selection activeCell="B2" sqref="B2"/>
      <selection pane="topRight" activeCell="B2" sqref="B2"/>
      <selection pane="bottomLeft" activeCell="B2" sqref="B2"/>
      <selection pane="bottomRight" activeCell="J7" sqref="J7"/>
    </sheetView>
  </sheetViews>
  <sheetFormatPr defaultColWidth="9.125" defaultRowHeight="12.4" customHeight="1" x14ac:dyDescent="0.2"/>
  <cols>
    <col min="1" max="1" width="32.625" style="1" customWidth="1"/>
    <col min="2" max="2" width="9.75" style="1" customWidth="1"/>
    <col min="3" max="8" width="9.125" style="1" customWidth="1"/>
    <col min="9" max="9" width="12.625" style="1" customWidth="1"/>
    <col min="10" max="10" width="12.125" style="1" customWidth="1"/>
    <col min="11" max="13" width="9.125" style="1" customWidth="1"/>
    <col min="14" max="14" width="29.625" style="1" customWidth="1"/>
    <col min="15" max="15" width="13.625" style="1" customWidth="1"/>
    <col min="16" max="16" width="9.125" style="1" customWidth="1"/>
    <col min="17" max="17" width="31.75" style="1" customWidth="1"/>
    <col min="18" max="18" width="21" style="1" customWidth="1"/>
    <col min="19" max="22" width="9.125" style="1" customWidth="1"/>
    <col min="23" max="23" width="26.625" style="1" customWidth="1"/>
    <col min="24" max="24" width="16.125" style="1" customWidth="1"/>
    <col min="25" max="25" width="20" style="1" customWidth="1"/>
    <col min="26" max="26" width="40" style="1" customWidth="1"/>
    <col min="27" max="16384" width="9.125" style="1"/>
  </cols>
  <sheetData>
    <row r="1" spans="1:33" ht="16.149999999999999" customHeight="1" x14ac:dyDescent="0.2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7"/>
      <c r="Y1"/>
      <c r="Z1"/>
    </row>
    <row r="2" spans="1:33" ht="12.4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Y2"/>
      <c r="Z2"/>
    </row>
    <row r="3" spans="1:33" ht="12.4" customHeight="1" x14ac:dyDescent="0.2">
      <c r="A3" s="53" t="s">
        <v>108</v>
      </c>
      <c r="O3" s="619" t="e">
        <f>IF(average_per_unit_revenue-average_per_unit_variable_cost&lt;&gt;0,estimated_monthly_fixed_cost/(average_per_unit_revenue-IF(PS_SalesByUnits=FALSE,average_variable_cost,average_per_unit_variable_cost)),0)</f>
        <v>#REF!</v>
      </c>
      <c r="Y3"/>
      <c r="Z3"/>
      <c r="AD3" s="22"/>
    </row>
    <row r="4" spans="1:33" ht="12.4" customHeight="1" x14ac:dyDescent="0.2">
      <c r="A4" s="19" t="s">
        <v>124</v>
      </c>
      <c r="C4" s="54"/>
      <c r="O4" s="55" t="e">
        <f>IF(average_per_unit_revenue&lt;&gt;0,estimated_monthly_fixed_cost/(1-(IF(PS_SalesByUnits,average_per_unit_variable_cost,average_variable_cost)/average_per_unit_revenue)),0)</f>
        <v>#REF!</v>
      </c>
      <c r="Y4"/>
      <c r="Z4"/>
      <c r="AD4" s="22"/>
    </row>
    <row r="5" spans="1:33" ht="12.4" customHeight="1" x14ac:dyDescent="0.2">
      <c r="A5" s="47"/>
      <c r="E5" s="56"/>
      <c r="F5" s="56"/>
      <c r="G5" s="56"/>
      <c r="O5" s="57"/>
      <c r="Y5"/>
      <c r="Z5"/>
      <c r="AD5" s="22"/>
    </row>
    <row r="6" spans="1:33" ht="16.149999999999999" customHeight="1" x14ac:dyDescent="0.2">
      <c r="A6" s="25" t="s">
        <v>48</v>
      </c>
      <c r="B6" s="20"/>
      <c r="C6" s="20"/>
      <c r="D6" s="20"/>
      <c r="E6" s="58"/>
      <c r="F6" s="58"/>
      <c r="G6" s="58"/>
      <c r="H6" s="20"/>
      <c r="I6" s="20"/>
      <c r="J6" s="20"/>
      <c r="K6" s="20"/>
      <c r="L6" s="20"/>
      <c r="M6" s="20"/>
      <c r="N6" s="20"/>
      <c r="O6" s="59"/>
      <c r="Y6"/>
      <c r="Z6"/>
      <c r="AD6" s="22"/>
    </row>
    <row r="7" spans="1:33" ht="12.4" customHeight="1" x14ac:dyDescent="0.2">
      <c r="A7" s="53" t="s">
        <v>237</v>
      </c>
      <c r="N7"/>
      <c r="O7" s="493" t="e">
        <f>IF(PS_SalesByUnits=FALSE,1,IF(total_unit_sales&lt;&gt;0,(sales/total_unit_sales),0))</f>
        <v>#REF!</v>
      </c>
      <c r="P7"/>
      <c r="Y7"/>
      <c r="Z7"/>
      <c r="AD7" s="22"/>
    </row>
    <row r="8" spans="1:33" ht="12.4" customHeight="1" x14ac:dyDescent="0.2">
      <c r="A8" s="53" t="s">
        <v>81</v>
      </c>
      <c r="N8"/>
      <c r="O8" s="494" t="e">
        <f>IF(total_unit_sales&lt;&gt;0,direct_cost_of_sales/total_unit_sales,0)</f>
        <v>#REF!</v>
      </c>
      <c r="P8"/>
      <c r="Y8"/>
      <c r="Z8"/>
      <c r="AD8" s="22"/>
    </row>
    <row r="9" spans="1:33" ht="12.4" customHeight="1" x14ac:dyDescent="0.2">
      <c r="A9" s="53" t="s">
        <v>70</v>
      </c>
      <c r="N9"/>
      <c r="O9" s="652" t="e">
        <f>IF(AND(PS_SalesByUnits=FALSE,sales&lt;&gt;0),direct_cost_of_sales/sales,0)</f>
        <v>#REF!</v>
      </c>
      <c r="P9"/>
      <c r="Y9"/>
      <c r="Z9"/>
      <c r="AD9" s="22"/>
    </row>
    <row r="10" spans="1:33" ht="12.4" customHeight="1" x14ac:dyDescent="0.2">
      <c r="A10" s="60" t="s">
        <v>172</v>
      </c>
      <c r="N10"/>
      <c r="O10" s="495" t="e">
        <f>total_operating_expenses/12</f>
        <v>#REF!</v>
      </c>
      <c r="P10"/>
      <c r="Y10"/>
      <c r="Z10"/>
    </row>
    <row r="11" spans="1:33" ht="12.4" customHeight="1" x14ac:dyDescent="0.2">
      <c r="A11"/>
      <c r="O11" s="20"/>
      <c r="P11"/>
      <c r="T11" s="22"/>
      <c r="U11" s="22"/>
      <c r="V11" s="22"/>
      <c r="W11" s="22"/>
      <c r="X11" s="22"/>
      <c r="Y11"/>
      <c r="Z11"/>
      <c r="AA11" s="22"/>
      <c r="AB11" s="22"/>
      <c r="AC11" s="22"/>
      <c r="AD11" s="22"/>
      <c r="AE11" s="22"/>
      <c r="AF11" s="22"/>
      <c r="AG11" s="22"/>
    </row>
    <row r="12" spans="1:33" ht="12.4" customHeight="1" x14ac:dyDescent="0.2">
      <c r="E12" s="61" t="s">
        <v>72</v>
      </c>
      <c r="F12" s="62" t="s">
        <v>73</v>
      </c>
      <c r="G12" s="63" t="s">
        <v>95</v>
      </c>
      <c r="H12"/>
      <c r="I12"/>
      <c r="J12"/>
      <c r="K12"/>
    </row>
    <row r="13" spans="1:33" ht="12.4" customHeight="1" x14ac:dyDescent="0.2">
      <c r="A13"/>
      <c r="E13" s="64">
        <v>0</v>
      </c>
      <c r="F13" s="65" t="e">
        <f t="shared" ref="F13:F24" si="0">E13*average_per_unit_revenue</f>
        <v>#REF!</v>
      </c>
      <c r="G13" s="65" t="e">
        <f t="shared" ref="G13:G24" si="1">IF(PS_SalesByUnits=FALSE,F13-(E13*average_variable_cost)-estimated_monthly_fixed_cost,F13-(E13*average_per_unit_variable_cost)-estimated_monthly_fixed_cost)</f>
        <v>#REF!</v>
      </c>
      <c r="H13"/>
      <c r="I13"/>
      <c r="J13"/>
      <c r="K13"/>
    </row>
    <row r="14" spans="1:33" ht="12.4" customHeight="1" x14ac:dyDescent="0.2">
      <c r="A14"/>
      <c r="E14" s="64" t="e">
        <f>IF($O$3&lt;6,1,E13+ROUND($O$3/6,rounder))</f>
        <v>#REF!</v>
      </c>
      <c r="F14" s="65" t="e">
        <f t="shared" si="0"/>
        <v>#REF!</v>
      </c>
      <c r="G14" s="65" t="e">
        <f t="shared" si="1"/>
        <v>#REF!</v>
      </c>
      <c r="H14"/>
      <c r="I14"/>
      <c r="J14"/>
      <c r="K14"/>
      <c r="O14"/>
      <c r="P14"/>
      <c r="Q14"/>
      <c r="R14"/>
    </row>
    <row r="15" spans="1:33" ht="12.4" customHeight="1" x14ac:dyDescent="0.2">
      <c r="A15"/>
      <c r="E15" s="64" t="e">
        <f t="shared" ref="E15:E24" si="2">E14+(E14-E13)</f>
        <v>#REF!</v>
      </c>
      <c r="F15" s="65" t="e">
        <f t="shared" si="0"/>
        <v>#REF!</v>
      </c>
      <c r="G15" s="65" t="e">
        <f t="shared" si="1"/>
        <v>#REF!</v>
      </c>
      <c r="H15"/>
      <c r="I15"/>
      <c r="J15"/>
      <c r="K15"/>
      <c r="O15"/>
      <c r="P15"/>
      <c r="Q15"/>
      <c r="R15"/>
    </row>
    <row r="16" spans="1:33" ht="12.4" customHeight="1" x14ac:dyDescent="0.2">
      <c r="E16" s="64" t="e">
        <f t="shared" si="2"/>
        <v>#REF!</v>
      </c>
      <c r="F16" s="65" t="e">
        <f t="shared" si="0"/>
        <v>#REF!</v>
      </c>
      <c r="G16" s="65" t="e">
        <f t="shared" si="1"/>
        <v>#REF!</v>
      </c>
      <c r="H16"/>
      <c r="I16"/>
      <c r="J16"/>
      <c r="K16"/>
      <c r="O16"/>
      <c r="P16"/>
      <c r="Q16"/>
      <c r="R16"/>
    </row>
    <row r="17" spans="1:20" ht="12.4" customHeight="1" x14ac:dyDescent="0.2">
      <c r="E17" s="64" t="e">
        <f t="shared" si="2"/>
        <v>#REF!</v>
      </c>
      <c r="F17" s="65" t="e">
        <f t="shared" si="0"/>
        <v>#REF!</v>
      </c>
      <c r="G17" s="65" t="e">
        <f t="shared" si="1"/>
        <v>#REF!</v>
      </c>
      <c r="H17"/>
      <c r="I17"/>
      <c r="J17"/>
      <c r="K17"/>
      <c r="O17"/>
      <c r="P17"/>
      <c r="Q17"/>
      <c r="R17"/>
    </row>
    <row r="18" spans="1:20" ht="12.4" customHeight="1" x14ac:dyDescent="0.2">
      <c r="A18"/>
      <c r="E18" s="64" t="e">
        <f t="shared" si="2"/>
        <v>#REF!</v>
      </c>
      <c r="F18" s="65" t="e">
        <f t="shared" si="0"/>
        <v>#REF!</v>
      </c>
      <c r="G18" s="65" t="e">
        <f t="shared" si="1"/>
        <v>#REF!</v>
      </c>
      <c r="H18"/>
      <c r="I18"/>
      <c r="J18"/>
      <c r="K18"/>
      <c r="O18"/>
      <c r="P18"/>
      <c r="Q18"/>
      <c r="R18"/>
    </row>
    <row r="19" spans="1:20" ht="12.4" customHeight="1" x14ac:dyDescent="0.2">
      <c r="A19"/>
      <c r="E19" s="64" t="e">
        <f t="shared" si="2"/>
        <v>#REF!</v>
      </c>
      <c r="F19" s="65" t="e">
        <f t="shared" si="0"/>
        <v>#REF!</v>
      </c>
      <c r="G19" s="65" t="e">
        <f t="shared" si="1"/>
        <v>#REF!</v>
      </c>
      <c r="H19"/>
      <c r="I19"/>
      <c r="J19"/>
      <c r="K19"/>
      <c r="O19"/>
      <c r="P19"/>
      <c r="Q19"/>
      <c r="R19"/>
    </row>
    <row r="20" spans="1:20" ht="12.4" customHeight="1" x14ac:dyDescent="0.2">
      <c r="A20"/>
      <c r="E20" s="64" t="e">
        <f t="shared" si="2"/>
        <v>#REF!</v>
      </c>
      <c r="F20" s="65" t="e">
        <f t="shared" si="0"/>
        <v>#REF!</v>
      </c>
      <c r="G20" s="65" t="e">
        <f t="shared" si="1"/>
        <v>#REF!</v>
      </c>
      <c r="H20"/>
      <c r="I20"/>
      <c r="J20"/>
      <c r="K20"/>
    </row>
    <row r="21" spans="1:20" ht="12.4" customHeight="1" x14ac:dyDescent="0.2">
      <c r="A21"/>
      <c r="E21" s="64" t="e">
        <f t="shared" si="2"/>
        <v>#REF!</v>
      </c>
      <c r="F21" s="65" t="e">
        <f t="shared" si="0"/>
        <v>#REF!</v>
      </c>
      <c r="G21" s="65" t="e">
        <f t="shared" si="1"/>
        <v>#REF!</v>
      </c>
      <c r="H21"/>
      <c r="I21"/>
      <c r="J21"/>
      <c r="K21"/>
    </row>
    <row r="22" spans="1:20" ht="12.4" customHeight="1" x14ac:dyDescent="0.2">
      <c r="A22"/>
      <c r="E22" s="64" t="e">
        <f t="shared" si="2"/>
        <v>#REF!</v>
      </c>
      <c r="F22" s="65" t="e">
        <f t="shared" si="0"/>
        <v>#REF!</v>
      </c>
      <c r="G22" s="65" t="e">
        <f t="shared" si="1"/>
        <v>#REF!</v>
      </c>
      <c r="H22"/>
      <c r="I22"/>
      <c r="J22"/>
      <c r="K22"/>
    </row>
    <row r="23" spans="1:20" ht="12.4" customHeight="1" x14ac:dyDescent="0.2">
      <c r="E23" s="64" t="e">
        <f t="shared" si="2"/>
        <v>#REF!</v>
      </c>
      <c r="F23" s="65" t="e">
        <f t="shared" si="0"/>
        <v>#REF!</v>
      </c>
      <c r="G23" s="65" t="e">
        <f t="shared" si="1"/>
        <v>#REF!</v>
      </c>
      <c r="H23"/>
      <c r="I23"/>
      <c r="J23"/>
      <c r="K23"/>
    </row>
    <row r="24" spans="1:20" ht="12.4" customHeight="1" x14ac:dyDescent="0.2">
      <c r="E24" s="66" t="e">
        <f t="shared" si="2"/>
        <v>#REF!</v>
      </c>
      <c r="F24" s="65" t="e">
        <f t="shared" si="0"/>
        <v>#REF!</v>
      </c>
      <c r="G24" s="65" t="e">
        <f t="shared" si="1"/>
        <v>#REF!</v>
      </c>
      <c r="H24"/>
      <c r="I24"/>
      <c r="J24"/>
      <c r="K24"/>
    </row>
    <row r="25" spans="1:20" ht="12.4" customHeight="1" x14ac:dyDescent="0.2">
      <c r="A25" s="22"/>
      <c r="E25"/>
      <c r="F25"/>
      <c r="G25"/>
      <c r="H25"/>
      <c r="I25"/>
      <c r="J25"/>
      <c r="K25"/>
    </row>
    <row r="28" spans="1:20" ht="12.4" customHeight="1" x14ac:dyDescent="0.2">
      <c r="Q28"/>
      <c r="R28"/>
      <c r="S28"/>
      <c r="T28"/>
    </row>
    <row r="29" spans="1:20" ht="12.4" customHeight="1" x14ac:dyDescent="0.2">
      <c r="Q29"/>
      <c r="R29"/>
      <c r="S29"/>
      <c r="T29"/>
    </row>
    <row r="30" spans="1:20" ht="12.4" customHeight="1" x14ac:dyDescent="0.2">
      <c r="Q30"/>
      <c r="R30"/>
      <c r="S30"/>
      <c r="T30"/>
    </row>
    <row r="31" spans="1:20" ht="12.4" customHeight="1" x14ac:dyDescent="0.2">
      <c r="Q31"/>
      <c r="R31"/>
      <c r="S31"/>
      <c r="T31"/>
    </row>
    <row r="32" spans="1:20" ht="12.4" customHeight="1" x14ac:dyDescent="0.2">
      <c r="Q32"/>
      <c r="R32"/>
      <c r="S32"/>
      <c r="T32"/>
    </row>
    <row r="33" spans="17:20" ht="12.4" customHeight="1" x14ac:dyDescent="0.2">
      <c r="Q33"/>
      <c r="R33"/>
      <c r="S33"/>
      <c r="T33"/>
    </row>
    <row r="34" spans="17:20" ht="12.4" customHeight="1" x14ac:dyDescent="0.2">
      <c r="Q34"/>
      <c r="R34"/>
      <c r="S34"/>
      <c r="T34"/>
    </row>
    <row r="35" spans="17:20" ht="12.4" customHeight="1" x14ac:dyDescent="0.2">
      <c r="Q35"/>
      <c r="R35"/>
      <c r="S35"/>
      <c r="T35"/>
    </row>
    <row r="36" spans="17:20" ht="12.4" customHeight="1" x14ac:dyDescent="0.2">
      <c r="Q36"/>
      <c r="R36"/>
      <c r="S36"/>
      <c r="T36"/>
    </row>
    <row r="37" spans="17:20" ht="12.4" customHeight="1" x14ac:dyDescent="0.2">
      <c r="R37"/>
      <c r="T37"/>
    </row>
  </sheetData>
  <pageMargins left="0.75" right="0.75" top="1" bottom="1" header="0.5" footer="0.5"/>
  <pageSetup scale="36" orientation="landscape" horizontalDpi="120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showGridLines="0" workbookViewId="0">
      <pane xSplit="1" ySplit="2" topLeftCell="B3" activePane="bottomRight" state="frozenSplit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.125" defaultRowHeight="12.4" customHeight="1" x14ac:dyDescent="0.2"/>
  <cols>
    <col min="1" max="1" width="30.75" style="1" customWidth="1"/>
    <col min="2" max="2" width="13.25" style="1" customWidth="1"/>
    <col min="3" max="8" width="13.625" style="1" customWidth="1"/>
    <col min="9" max="18" width="20.75" style="1" customWidth="1"/>
    <col min="19" max="19" width="9.125" style="1" customWidth="1"/>
    <col min="20" max="20" width="16.625" style="1" customWidth="1"/>
    <col min="21" max="23" width="9.125" style="1" customWidth="1"/>
    <col min="24" max="24" width="11.375" style="1" customWidth="1"/>
    <col min="25" max="25" width="16.75" style="1" customWidth="1"/>
    <col min="26" max="26" width="31" style="1" customWidth="1"/>
    <col min="27" max="16384" width="9.125" style="1"/>
  </cols>
  <sheetData>
    <row r="1" spans="1:28" ht="16.149999999999999" customHeight="1" x14ac:dyDescent="0.2">
      <c r="A1" s="2" t="s">
        <v>30</v>
      </c>
      <c r="B1" s="67"/>
      <c r="C1" s="67"/>
      <c r="D1" s="68"/>
      <c r="E1" s="68"/>
      <c r="F1" s="68"/>
      <c r="G1" s="68"/>
      <c r="H1" s="69"/>
      <c r="O1" s="49"/>
      <c r="P1" s="70"/>
      <c r="R1" s="496"/>
      <c r="T1"/>
      <c r="Y1"/>
      <c r="Z1"/>
    </row>
    <row r="2" spans="1:28" ht="12.4" customHeight="1" x14ac:dyDescent="0.2">
      <c r="A2" s="71"/>
      <c r="B2" s="72"/>
      <c r="C2" s="72" t="e">
        <f>IF(PS_DateSetting=1," Year 1",PS_StartingYear)</f>
        <v>#REF!</v>
      </c>
      <c r="D2" s="72" t="e">
        <f>IF(PS_DateSetting=1," Year 2",C2+1)</f>
        <v>#REF!</v>
      </c>
      <c r="E2" s="72" t="e">
        <f>IF(PS_DateSetting=1," Year 3",D2+1)</f>
        <v>#REF!</v>
      </c>
      <c r="F2" s="72" t="e">
        <f>IF(PS_DateSetting=1," Year 4",E2+1)</f>
        <v>#REF!</v>
      </c>
      <c r="G2" s="72" t="e">
        <f>IF(PS_DateSetting=1," Year 5",F2+1)</f>
        <v>#REF!</v>
      </c>
      <c r="H2" s="73"/>
      <c r="O2" s="49"/>
      <c r="P2" s="70"/>
      <c r="R2" s="496"/>
      <c r="T2"/>
      <c r="Y2"/>
      <c r="Z2"/>
    </row>
    <row r="3" spans="1:28" ht="16.149999999999999" customHeight="1" x14ac:dyDescent="0.2">
      <c r="A3" s="25" t="s">
        <v>246</v>
      </c>
      <c r="B3" s="74" t="s">
        <v>236</v>
      </c>
      <c r="C3" s="28"/>
      <c r="D3" s="28"/>
      <c r="E3" s="28"/>
      <c r="F3" s="28"/>
      <c r="G3" s="28"/>
      <c r="H3" s="59" t="s">
        <v>0</v>
      </c>
      <c r="K3"/>
      <c r="L3"/>
      <c r="M3"/>
      <c r="N3"/>
      <c r="O3"/>
      <c r="P3"/>
      <c r="Q3"/>
      <c r="R3"/>
      <c r="T3"/>
      <c r="Y3"/>
      <c r="Z3"/>
    </row>
    <row r="4" spans="1:28" ht="12.4" customHeight="1" x14ac:dyDescent="0.2">
      <c r="A4" s="497" t="s">
        <v>153</v>
      </c>
      <c r="B4" s="653">
        <v>0</v>
      </c>
      <c r="C4" s="596">
        <v>0</v>
      </c>
      <c r="D4" s="594">
        <f t="shared" ref="D4:G5" si="0">ROUND(C4*(1+$B4),0)</f>
        <v>0</v>
      </c>
      <c r="E4" s="594">
        <f t="shared" si="0"/>
        <v>0</v>
      </c>
      <c r="F4" s="594">
        <f t="shared" si="0"/>
        <v>0</v>
      </c>
      <c r="G4" s="594">
        <f t="shared" si="0"/>
        <v>0</v>
      </c>
      <c r="H4" s="635">
        <f>IF(C4&lt;&gt;0,(G4/C4)^(1/4)-1,0)</f>
        <v>0</v>
      </c>
      <c r="I4"/>
      <c r="J4"/>
      <c r="K4"/>
      <c r="L4"/>
      <c r="M4"/>
      <c r="N4"/>
      <c r="O4"/>
      <c r="P4"/>
      <c r="Q4"/>
      <c r="R4"/>
      <c r="T4"/>
      <c r="Y4"/>
      <c r="Z4"/>
    </row>
    <row r="5" spans="1:28" ht="12.4" customHeight="1" x14ac:dyDescent="0.2">
      <c r="A5" s="499" t="s">
        <v>198</v>
      </c>
      <c r="B5" s="655">
        <v>0</v>
      </c>
      <c r="C5" s="607">
        <v>0</v>
      </c>
      <c r="D5" s="605">
        <f t="shared" si="0"/>
        <v>0</v>
      </c>
      <c r="E5" s="605">
        <f t="shared" si="0"/>
        <v>0</v>
      </c>
      <c r="F5" s="605">
        <f t="shared" si="0"/>
        <v>0</v>
      </c>
      <c r="G5" s="605">
        <f t="shared" si="0"/>
        <v>0</v>
      </c>
      <c r="H5" s="637">
        <f>IF(C5&lt;&gt;0,(G5/C5)^(1/4)-1,0)</f>
        <v>0</v>
      </c>
      <c r="I5"/>
      <c r="J5"/>
      <c r="K5"/>
      <c r="L5"/>
      <c r="M5"/>
      <c r="N5"/>
      <c r="O5"/>
      <c r="P5"/>
      <c r="Q5"/>
      <c r="R5"/>
      <c r="T5"/>
      <c r="Y5"/>
      <c r="Z5"/>
    </row>
    <row r="6" spans="1:28" ht="16.149999999999999" customHeight="1" x14ac:dyDescent="0.2">
      <c r="A6" s="48" t="s">
        <v>83</v>
      </c>
      <c r="B6" s="638">
        <f>H6</f>
        <v>0</v>
      </c>
      <c r="C6" s="620">
        <f>SUM(C4:C5)</f>
        <v>0</v>
      </c>
      <c r="D6" s="620">
        <f>SUM(D4:D5)</f>
        <v>0</v>
      </c>
      <c r="E6" s="620">
        <f>SUM(E4:E5)</f>
        <v>0</v>
      </c>
      <c r="F6" s="620">
        <f>SUM(F4:F5)</f>
        <v>0</v>
      </c>
      <c r="G6" s="620">
        <f>SUM(G4:G5)</f>
        <v>0</v>
      </c>
      <c r="H6" s="639">
        <f>IF(C6&lt;&gt;0,(G6/C6)^(1/4)-1,0)</f>
        <v>0</v>
      </c>
      <c r="I6"/>
      <c r="K6"/>
      <c r="L6" s="49"/>
      <c r="M6"/>
      <c r="P6" s="496"/>
      <c r="T6"/>
      <c r="Y6"/>
      <c r="Z6"/>
    </row>
    <row r="7" spans="1:28" ht="12.4" customHeight="1" x14ac:dyDescent="0.2">
      <c r="A7"/>
      <c r="T7"/>
      <c r="Y7"/>
      <c r="Z7"/>
      <c r="AA7" s="22"/>
      <c r="AB7" s="22"/>
    </row>
    <row r="8" spans="1:28" ht="12.4" customHeight="1" x14ac:dyDescent="0.2">
      <c r="E8" s="500"/>
    </row>
    <row r="9" spans="1:28" ht="12.4" customHeight="1" x14ac:dyDescent="0.2">
      <c r="A9"/>
      <c r="D9"/>
      <c r="E9"/>
      <c r="F9"/>
      <c r="G9"/>
    </row>
    <row r="10" spans="1:28" ht="12.4" customHeight="1" x14ac:dyDescent="0.2">
      <c r="A10"/>
      <c r="D10"/>
    </row>
    <row r="11" spans="1:28" ht="12.4" customHeight="1" x14ac:dyDescent="0.2">
      <c r="A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5"/>
  <sheetViews>
    <sheetView showGridLines="0" topLeftCell="A5" workbookViewId="0">
      <pane xSplit="1" ySplit="2" topLeftCell="W37" activePane="bottomRight" state="frozenSplit"/>
      <selection pane="topRight"/>
      <selection pane="bottomLeft"/>
      <selection pane="bottomRight"/>
    </sheetView>
  </sheetViews>
  <sheetFormatPr defaultColWidth="9.125" defaultRowHeight="12.4" customHeight="1" x14ac:dyDescent="0.2"/>
  <cols>
    <col min="1" max="1" width="42.125" style="1" customWidth="1"/>
    <col min="2" max="2" width="13.625" style="131" customWidth="1"/>
    <col min="3" max="33" width="13.625" style="1" customWidth="1"/>
    <col min="34" max="34" width="14.375" style="1" customWidth="1"/>
    <col min="35" max="36" width="9.125" style="1" customWidth="1"/>
    <col min="37" max="37" width="11.375" style="1" customWidth="1"/>
    <col min="38" max="38" width="17.75" style="1" customWidth="1"/>
    <col min="39" max="39" width="25.75" style="1" customWidth="1"/>
    <col min="40" max="40" width="22.75" style="1" customWidth="1"/>
    <col min="41" max="16384" width="9.125" style="1"/>
  </cols>
  <sheetData>
    <row r="1" spans="1:40" ht="16.149999999999999" customHeight="1" x14ac:dyDescent="0.2">
      <c r="A1" s="2" t="s">
        <v>195</v>
      </c>
      <c r="B1" s="132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33"/>
      <c r="P1" s="134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133"/>
      <c r="AD1" s="135"/>
      <c r="AE1" s="69"/>
      <c r="AF1" s="68"/>
      <c r="AG1" s="68"/>
      <c r="AH1"/>
      <c r="AL1"/>
      <c r="AM1"/>
      <c r="AN1"/>
    </row>
    <row r="2" spans="1:40" ht="12.4" customHeight="1" x14ac:dyDescent="0.2">
      <c r="A2" s="8"/>
      <c r="B2" s="136"/>
      <c r="C2" s="10" t="e">
        <f>IF(PS_DateSetting=1," Month 1",DATE(PS_StartingYear,PS_StartingMonth,15))</f>
        <v>#REF!</v>
      </c>
      <c r="D2" s="10" t="e">
        <f>IF(PS_DateSetting=1," Month 2",C2+30.4)</f>
        <v>#REF!</v>
      </c>
      <c r="E2" s="10" t="e">
        <f>IF(PS_DateSetting=1," Month 3",D2+30.4)</f>
        <v>#REF!</v>
      </c>
      <c r="F2" s="10" t="e">
        <f>IF(PS_DateSetting=1," Month 4",E2+30.4)</f>
        <v>#REF!</v>
      </c>
      <c r="G2" s="10" t="e">
        <f>IF(PS_DateSetting=1," Month 5",F2+30.4)</f>
        <v>#REF!</v>
      </c>
      <c r="H2" s="10" t="e">
        <f>IF(PS_DateSetting=1," Month 6",G2+30.4)</f>
        <v>#REF!</v>
      </c>
      <c r="I2" s="10" t="e">
        <f>IF(PS_DateSetting=1," Month 7",H2+30.4)</f>
        <v>#REF!</v>
      </c>
      <c r="J2" s="10" t="e">
        <f>IF(PS_DateSetting=1," Month 8",I2+30.4)</f>
        <v>#REF!</v>
      </c>
      <c r="K2" s="10" t="e">
        <f>IF(PS_DateSetting=1," Month 9",J2+30.4)</f>
        <v>#REF!</v>
      </c>
      <c r="L2" s="10" t="e">
        <f>IF(PS_DateSetting=1," Month 10",K2+30.4)</f>
        <v>#REF!</v>
      </c>
      <c r="M2" s="10" t="e">
        <f>IF(PS_DateSetting=1," Month 11",L2+30.4)</f>
        <v>#REF!</v>
      </c>
      <c r="N2" s="10" t="e">
        <f>IF(PS_DateSetting=1," Month 12",M2+30.4)</f>
        <v>#REF!</v>
      </c>
      <c r="O2" s="11" t="e">
        <f>IF(PS_DateSetting=1," Year 1",IF(PS_StartingMonth&gt;1,"FY "&amp;PS_StartingYear+1,PS_StartingYear))</f>
        <v>#REF!</v>
      </c>
      <c r="P2" s="12"/>
      <c r="Q2" s="10" t="e">
        <f>IF(PS_DateSetting=1," Month 13",DATE(PS_StartingYear,PS_StartingMonth,15))</f>
        <v>#REF!</v>
      </c>
      <c r="R2" s="10" t="e">
        <f>IF(PS_DateSetting=1," Month 14",Q2+30.4)</f>
        <v>#REF!</v>
      </c>
      <c r="S2" s="10" t="e">
        <f>IF(PS_DateSetting=1," Month 15",R2+30.4)</f>
        <v>#REF!</v>
      </c>
      <c r="T2" s="10" t="e">
        <f>IF(PS_DateSetting=1," Month 16",S2+30.4)</f>
        <v>#REF!</v>
      </c>
      <c r="U2" s="10" t="e">
        <f>IF(PS_DateSetting=1," Month 17",T2+30.4)</f>
        <v>#REF!</v>
      </c>
      <c r="V2" s="10" t="e">
        <f>IF(PS_DateSetting=1," Month 18",U2+30.4)</f>
        <v>#REF!</v>
      </c>
      <c r="W2" s="10" t="e">
        <f>IF(PS_DateSetting=1," Month 19",V2+30.4)</f>
        <v>#REF!</v>
      </c>
      <c r="X2" s="10" t="e">
        <f>IF(PS_DateSetting=1," Month 20",W2+30.4)</f>
        <v>#REF!</v>
      </c>
      <c r="Y2" s="10" t="e">
        <f>IF(PS_DateSetting=1," Month 21",X2+30.4)</f>
        <v>#REF!</v>
      </c>
      <c r="Z2" s="10" t="e">
        <f>IF(PS_DateSetting=1," Month 22",Y2+30.4)</f>
        <v>#REF!</v>
      </c>
      <c r="AA2" s="10" t="e">
        <f>IF(PS_DateSetting=1," Month 23",Z2+30.4)</f>
        <v>#REF!</v>
      </c>
      <c r="AB2" s="10" t="e">
        <f>IF(PS_DateSetting=1," Month 24",AA2+30.4)</f>
        <v>#REF!</v>
      </c>
      <c r="AC2" s="11" t="e">
        <f>IF(PS_DateSetting=1," Year 2",IF(PS_StartingMonth&gt;1,"FY "&amp;PS_StartingYear+2,PS_StartingYear+1))</f>
        <v>#REF!</v>
      </c>
      <c r="AD2" s="137" t="e">
        <f>IF(PS_DateSetting=1," Year 2",IF(PS_StartingMonth&gt;1,"FY "&amp;PS_StartingYear+2,PS_StartingYear+1))</f>
        <v>#REF!</v>
      </c>
      <c r="AE2" s="11" t="e">
        <f>IF(PS_DateSetting=1," Year 3",IF(PS_StartingMonth&gt;1,"FY "&amp;PS_StartingYear+3,PS_StartingYear+2))</f>
        <v>#REF!</v>
      </c>
      <c r="AF2" s="13" t="e">
        <f>IF(PS_DateSetting=1," Year 4",IF(PS_StartingMonth&gt;1,"FY "&amp;PS_StartingYear+4,PS_StartingYear+3))</f>
        <v>#REF!</v>
      </c>
      <c r="AG2" s="13" t="e">
        <f>IF(PS_DateSetting=1," Year 5",IF(PS_StartingMonth&gt;1,"FY "&amp;PS_StartingYear+5,PS_StartingYear+4))</f>
        <v>#REF!</v>
      </c>
      <c r="AH2"/>
      <c r="AL2"/>
      <c r="AM2"/>
      <c r="AN2"/>
    </row>
    <row r="3" spans="1:40" ht="12.4" customHeight="1" x14ac:dyDescent="0.2">
      <c r="A3" s="138" t="s">
        <v>120</v>
      </c>
      <c r="B3" s="524"/>
      <c r="C3" s="525">
        <v>0</v>
      </c>
      <c r="D3" s="525">
        <v>0</v>
      </c>
      <c r="E3" s="525">
        <v>0</v>
      </c>
      <c r="F3" s="526">
        <v>0</v>
      </c>
      <c r="G3" s="526">
        <v>0</v>
      </c>
      <c r="H3" s="526">
        <v>0</v>
      </c>
      <c r="I3" s="526">
        <v>0</v>
      </c>
      <c r="J3" s="526">
        <v>0</v>
      </c>
      <c r="K3" s="526">
        <v>0</v>
      </c>
      <c r="L3" s="526">
        <v>0</v>
      </c>
      <c r="M3" s="526">
        <v>0</v>
      </c>
      <c r="N3" s="526">
        <v>0</v>
      </c>
      <c r="O3" s="139">
        <f>SUM(C3:N3)</f>
        <v>0</v>
      </c>
      <c r="P3" s="469"/>
      <c r="Q3" s="526">
        <v>0</v>
      </c>
      <c r="R3" s="526">
        <v>0</v>
      </c>
      <c r="S3" s="526">
        <v>0</v>
      </c>
      <c r="T3" s="526">
        <v>0</v>
      </c>
      <c r="U3" s="526">
        <v>0</v>
      </c>
      <c r="V3" s="526">
        <v>0</v>
      </c>
      <c r="W3" s="526">
        <v>0</v>
      </c>
      <c r="X3" s="526">
        <v>0</v>
      </c>
      <c r="Y3" s="526">
        <v>0</v>
      </c>
      <c r="Z3" s="526">
        <v>0</v>
      </c>
      <c r="AA3" s="526">
        <v>0</v>
      </c>
      <c r="AB3" s="526">
        <v>0</v>
      </c>
      <c r="AC3" s="139">
        <f>SUM(Q3:AB3)</f>
        <v>0</v>
      </c>
      <c r="AD3" s="576">
        <v>0</v>
      </c>
      <c r="AE3" s="575">
        <v>0</v>
      </c>
      <c r="AF3" s="576">
        <v>0</v>
      </c>
      <c r="AG3" s="575">
        <v>0</v>
      </c>
      <c r="AH3"/>
      <c r="AL3"/>
      <c r="AM3"/>
      <c r="AN3"/>
    </row>
    <row r="4" spans="1:40" ht="12.4" customHeight="1" x14ac:dyDescent="0.2">
      <c r="A4"/>
      <c r="B4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140"/>
      <c r="P4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/>
      <c r="AC4" s="140"/>
      <c r="AD4" s="528"/>
      <c r="AE4" s="529"/>
      <c r="AF4" s="529"/>
      <c r="AG4" s="528"/>
      <c r="AH4"/>
      <c r="AL4"/>
      <c r="AM4"/>
      <c r="AN4"/>
    </row>
    <row r="5" spans="1:40" ht="16.149999999999999" customHeight="1" x14ac:dyDescent="0.2">
      <c r="A5" s="2" t="s">
        <v>195</v>
      </c>
      <c r="B5" s="132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33"/>
      <c r="P5" s="134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133"/>
      <c r="AD5" s="135"/>
      <c r="AE5" s="69"/>
      <c r="AF5" s="68"/>
      <c r="AG5" s="68"/>
      <c r="AH5"/>
      <c r="AL5"/>
      <c r="AM5"/>
      <c r="AN5"/>
    </row>
    <row r="6" spans="1:40" ht="12.4" customHeight="1" x14ac:dyDescent="0.2">
      <c r="A6" s="8"/>
      <c r="B6" s="136"/>
      <c r="C6" s="10" t="e">
        <f>IF(PS_DateSetting=1," Month 1",DATE(PS_StartingYear,PS_StartingMonth,15))</f>
        <v>#REF!</v>
      </c>
      <c r="D6" s="10" t="e">
        <f>IF(PS_DateSetting=1," Month 2",C6+30.4)</f>
        <v>#REF!</v>
      </c>
      <c r="E6" s="10" t="e">
        <f>IF(PS_DateSetting=1," Month 3",D6+30.4)</f>
        <v>#REF!</v>
      </c>
      <c r="F6" s="10" t="e">
        <f>IF(PS_DateSetting=1," Month 4",E6+30.4)</f>
        <v>#REF!</v>
      </c>
      <c r="G6" s="10" t="e">
        <f>IF(PS_DateSetting=1," Month 5",F6+30.4)</f>
        <v>#REF!</v>
      </c>
      <c r="H6" s="10" t="e">
        <f>IF(PS_DateSetting=1," Month 6",G6+30.4)</f>
        <v>#REF!</v>
      </c>
      <c r="I6" s="10" t="e">
        <f>IF(PS_DateSetting=1," Month 7",H6+30.4)</f>
        <v>#REF!</v>
      </c>
      <c r="J6" s="10" t="e">
        <f>IF(PS_DateSetting=1," Month 8",I6+30.4)</f>
        <v>#REF!</v>
      </c>
      <c r="K6" s="10" t="e">
        <f>IF(PS_DateSetting=1," Month 9",J6+30.4)</f>
        <v>#REF!</v>
      </c>
      <c r="L6" s="10" t="e">
        <f>IF(PS_DateSetting=1," Month 10",K6+30.4)</f>
        <v>#REF!</v>
      </c>
      <c r="M6" s="10" t="e">
        <f>IF(PS_DateSetting=1," Month 11",L6+30.4)</f>
        <v>#REF!</v>
      </c>
      <c r="N6" s="10" t="e">
        <f>IF(PS_DateSetting=1," Month 12",M6+30.4)</f>
        <v>#REF!</v>
      </c>
      <c r="O6" s="11" t="e">
        <f>IF(PS_DateSetting=1," Year 1",IF(PS_StartingMonth&gt;1,"FY "&amp;PS_StartingYear+1,PS_StartingYear))</f>
        <v>#REF!</v>
      </c>
      <c r="P6" s="12"/>
      <c r="Q6" s="10" t="e">
        <f>IF(PS_DateSetting=1," Month 13",DATE(PS_StartingYear,PS_StartingMonth,15))</f>
        <v>#REF!</v>
      </c>
      <c r="R6" s="10" t="e">
        <f>IF(PS_DateSetting=1," Month 14",Q6+30.4)</f>
        <v>#REF!</v>
      </c>
      <c r="S6" s="10" t="e">
        <f>IF(PS_DateSetting=1," Month 15",R6+30.4)</f>
        <v>#REF!</v>
      </c>
      <c r="T6" s="10" t="e">
        <f>IF(PS_DateSetting=1," Month 16",S6+30.4)</f>
        <v>#REF!</v>
      </c>
      <c r="U6" s="10" t="e">
        <f>IF(PS_DateSetting=1," Month 17",T6+30.4)</f>
        <v>#REF!</v>
      </c>
      <c r="V6" s="10" t="e">
        <f>IF(PS_DateSetting=1," Month 18",U6+30.4)</f>
        <v>#REF!</v>
      </c>
      <c r="W6" s="10" t="e">
        <f>IF(PS_DateSetting=1," Month 19",V6+30.4)</f>
        <v>#REF!</v>
      </c>
      <c r="X6" s="10" t="e">
        <f>IF(PS_DateSetting=1," Month 20",W6+30.4)</f>
        <v>#REF!</v>
      </c>
      <c r="Y6" s="10" t="e">
        <f>IF(PS_DateSetting=1," Month 21",X6+30.4)</f>
        <v>#REF!</v>
      </c>
      <c r="Z6" s="10" t="e">
        <f>IF(PS_DateSetting=1," Month 22",Y6+30.4)</f>
        <v>#REF!</v>
      </c>
      <c r="AA6" s="10" t="e">
        <f>IF(PS_DateSetting=1," Month 23",Z6+30.4)</f>
        <v>#REF!</v>
      </c>
      <c r="AB6" s="10" t="e">
        <f>IF(PS_DateSetting=1," Month 24",AA6+30.4)</f>
        <v>#REF!</v>
      </c>
      <c r="AC6" s="11" t="e">
        <f>IF(PS_DateSetting=1," Year 2",IF(PS_StartingMonth&gt;1,"FY "&amp;PS_StartingYear+2,PS_StartingYear+1))</f>
        <v>#REF!</v>
      </c>
      <c r="AD6" s="137" t="e">
        <f>IF(PS_DateSetting=1," Year 2",IF(PS_StartingMonth&gt;1,"FY "&amp;PS_StartingYear+2,PS_StartingYear+1))</f>
        <v>#REF!</v>
      </c>
      <c r="AE6" s="11" t="e">
        <f>IF(PS_DateSetting=1," Year 3",IF(PS_StartingMonth&gt;1,"FY "&amp;PS_StartingYear+3,PS_StartingYear+2))</f>
        <v>#REF!</v>
      </c>
      <c r="AF6" s="13" t="e">
        <f>IF(PS_DateSetting=1," Year 4",IF(PS_StartingMonth&gt;1,"FY "&amp;PS_StartingYear+4,PS_StartingYear+3))</f>
        <v>#REF!</v>
      </c>
      <c r="AG6" s="13" t="e">
        <f>IF(PS_DateSetting=1," Year 5",IF(PS_StartingMonth&gt;1,"FY "&amp;PS_StartingYear+5,PS_StartingYear+4))</f>
        <v>#REF!</v>
      </c>
      <c r="AH6"/>
      <c r="AL6"/>
      <c r="AM6"/>
      <c r="AN6"/>
    </row>
    <row r="7" spans="1:40" ht="12.4" customHeight="1" x14ac:dyDescent="0.2">
      <c r="A7" s="497" t="s">
        <v>26</v>
      </c>
      <c r="B7" s="530"/>
      <c r="C7" s="479">
        <v>0</v>
      </c>
      <c r="D7" s="479">
        <v>0</v>
      </c>
      <c r="E7" s="479">
        <v>0</v>
      </c>
      <c r="F7" s="479">
        <v>0</v>
      </c>
      <c r="G7" s="479">
        <v>0</v>
      </c>
      <c r="H7" s="479">
        <v>0</v>
      </c>
      <c r="I7" s="479">
        <v>0</v>
      </c>
      <c r="J7" s="479">
        <v>0</v>
      </c>
      <c r="K7" s="479">
        <v>0</v>
      </c>
      <c r="L7" s="479">
        <v>0</v>
      </c>
      <c r="M7" s="479">
        <v>0</v>
      </c>
      <c r="N7" s="479">
        <v>0</v>
      </c>
      <c r="O7" s="103">
        <f>SUM(C7:N7)</f>
        <v>0</v>
      </c>
      <c r="P7" s="462"/>
      <c r="Q7" s="479">
        <v>0</v>
      </c>
      <c r="R7" s="479">
        <v>0</v>
      </c>
      <c r="S7" s="479">
        <v>0</v>
      </c>
      <c r="T7" s="479">
        <v>0</v>
      </c>
      <c r="U7" s="479">
        <v>0</v>
      </c>
      <c r="V7" s="479">
        <v>0</v>
      </c>
      <c r="W7" s="479">
        <v>0</v>
      </c>
      <c r="X7" s="479">
        <v>0</v>
      </c>
      <c r="Y7" s="479">
        <v>0</v>
      </c>
      <c r="Z7" s="479">
        <v>0</v>
      </c>
      <c r="AA7" s="479">
        <v>0</v>
      </c>
      <c r="AB7" s="479">
        <v>0</v>
      </c>
      <c r="AC7" s="103">
        <f>SUM(Q7:AB7)</f>
        <v>0</v>
      </c>
      <c r="AD7" s="480">
        <v>0</v>
      </c>
      <c r="AE7" s="481">
        <v>0</v>
      </c>
      <c r="AF7" s="480">
        <v>0</v>
      </c>
      <c r="AG7" s="481">
        <v>0</v>
      </c>
      <c r="AH7"/>
      <c r="AL7"/>
      <c r="AM7"/>
      <c r="AN7"/>
    </row>
    <row r="8" spans="1:40" ht="12.4" customHeight="1" x14ac:dyDescent="0.2">
      <c r="A8" s="492" t="s">
        <v>26</v>
      </c>
      <c r="B8" s="498"/>
      <c r="C8" s="482">
        <v>0</v>
      </c>
      <c r="D8" s="482">
        <v>0</v>
      </c>
      <c r="E8" s="482">
        <v>0</v>
      </c>
      <c r="F8" s="482">
        <v>0</v>
      </c>
      <c r="G8" s="482">
        <v>0</v>
      </c>
      <c r="H8" s="482">
        <v>0</v>
      </c>
      <c r="I8" s="482">
        <v>0</v>
      </c>
      <c r="J8" s="482">
        <v>0</v>
      </c>
      <c r="K8" s="482">
        <v>0</v>
      </c>
      <c r="L8" s="482">
        <v>0</v>
      </c>
      <c r="M8" s="482">
        <v>0</v>
      </c>
      <c r="N8" s="482">
        <v>0</v>
      </c>
      <c r="O8" s="103">
        <f>SUM(C8:N8)</f>
        <v>0</v>
      </c>
      <c r="P8" s="463"/>
      <c r="Q8" s="482">
        <v>0</v>
      </c>
      <c r="R8" s="482">
        <v>0</v>
      </c>
      <c r="S8" s="482">
        <v>0</v>
      </c>
      <c r="T8" s="482">
        <v>0</v>
      </c>
      <c r="U8" s="482">
        <v>0</v>
      </c>
      <c r="V8" s="482">
        <v>0</v>
      </c>
      <c r="W8" s="482">
        <v>0</v>
      </c>
      <c r="X8" s="482">
        <v>0</v>
      </c>
      <c r="Y8" s="482">
        <v>0</v>
      </c>
      <c r="Z8" s="482">
        <v>0</v>
      </c>
      <c r="AA8" s="482">
        <v>0</v>
      </c>
      <c r="AB8" s="482">
        <v>0</v>
      </c>
      <c r="AC8" s="103">
        <f>SUM(Q8:AB8)</f>
        <v>0</v>
      </c>
      <c r="AD8" s="483">
        <v>0</v>
      </c>
      <c r="AE8" s="484">
        <v>0</v>
      </c>
      <c r="AF8" s="483">
        <v>0</v>
      </c>
      <c r="AG8" s="484">
        <v>0</v>
      </c>
      <c r="AH8"/>
      <c r="AL8"/>
      <c r="AM8"/>
      <c r="AN8"/>
    </row>
    <row r="9" spans="1:40" ht="12.4" customHeight="1" x14ac:dyDescent="0.2">
      <c r="A9" s="499" t="s">
        <v>26</v>
      </c>
      <c r="B9" s="531"/>
      <c r="C9" s="487">
        <v>0</v>
      </c>
      <c r="D9" s="487">
        <v>0</v>
      </c>
      <c r="E9" s="487">
        <v>0</v>
      </c>
      <c r="F9" s="487">
        <v>0</v>
      </c>
      <c r="G9" s="487">
        <v>0</v>
      </c>
      <c r="H9" s="487">
        <v>0</v>
      </c>
      <c r="I9" s="487">
        <v>0</v>
      </c>
      <c r="J9" s="487">
        <v>0</v>
      </c>
      <c r="K9" s="487">
        <v>0</v>
      </c>
      <c r="L9" s="487">
        <v>0</v>
      </c>
      <c r="M9" s="487">
        <v>0</v>
      </c>
      <c r="N9" s="487">
        <v>0</v>
      </c>
      <c r="O9" s="103">
        <f>SUM(C9:N9)</f>
        <v>0</v>
      </c>
      <c r="P9" s="464"/>
      <c r="Q9" s="487">
        <v>0</v>
      </c>
      <c r="R9" s="487">
        <v>0</v>
      </c>
      <c r="S9" s="487">
        <v>0</v>
      </c>
      <c r="T9" s="487">
        <v>0</v>
      </c>
      <c r="U9" s="487">
        <v>0</v>
      </c>
      <c r="V9" s="487">
        <v>0</v>
      </c>
      <c r="W9" s="487">
        <v>0</v>
      </c>
      <c r="X9" s="487">
        <v>0</v>
      </c>
      <c r="Y9" s="487">
        <v>0</v>
      </c>
      <c r="Z9" s="487">
        <v>0</v>
      </c>
      <c r="AA9" s="487">
        <v>0</v>
      </c>
      <c r="AB9" s="487">
        <v>0</v>
      </c>
      <c r="AC9" s="103">
        <f>SUM(Q9:AB9)</f>
        <v>0</v>
      </c>
      <c r="AD9" s="488">
        <v>0</v>
      </c>
      <c r="AE9" s="489">
        <v>0</v>
      </c>
      <c r="AF9" s="488">
        <v>0</v>
      </c>
      <c r="AG9" s="489">
        <v>0</v>
      </c>
      <c r="AH9"/>
      <c r="AL9"/>
      <c r="AM9"/>
      <c r="AN9"/>
    </row>
    <row r="10" spans="1:40" ht="12.4" customHeight="1" x14ac:dyDescent="0.2">
      <c r="A10" s="33" t="s">
        <v>106</v>
      </c>
      <c r="B10" s="530"/>
      <c r="C10" s="587">
        <v>0</v>
      </c>
      <c r="D10" s="587">
        <f t="shared" ref="D10:O10" si="0">C10</f>
        <v>0</v>
      </c>
      <c r="E10" s="587">
        <f t="shared" si="0"/>
        <v>0</v>
      </c>
      <c r="F10" s="587">
        <f t="shared" si="0"/>
        <v>0</v>
      </c>
      <c r="G10" s="587">
        <f t="shared" si="0"/>
        <v>0</v>
      </c>
      <c r="H10" s="587">
        <f t="shared" si="0"/>
        <v>0</v>
      </c>
      <c r="I10" s="587">
        <f t="shared" si="0"/>
        <v>0</v>
      </c>
      <c r="J10" s="587">
        <f t="shared" si="0"/>
        <v>0</v>
      </c>
      <c r="K10" s="587">
        <f t="shared" si="0"/>
        <v>0</v>
      </c>
      <c r="L10" s="587">
        <f t="shared" si="0"/>
        <v>0</v>
      </c>
      <c r="M10" s="587">
        <f t="shared" si="0"/>
        <v>0</v>
      </c>
      <c r="N10" s="587">
        <f t="shared" si="0"/>
        <v>0</v>
      </c>
      <c r="O10" s="141">
        <f t="shared" si="0"/>
        <v>0</v>
      </c>
      <c r="P10" s="465"/>
      <c r="Q10" s="587">
        <f>O10</f>
        <v>0</v>
      </c>
      <c r="R10" s="587">
        <f t="shared" ref="R10:AG10" si="1">Q10</f>
        <v>0</v>
      </c>
      <c r="S10" s="587">
        <f t="shared" si="1"/>
        <v>0</v>
      </c>
      <c r="T10" s="587">
        <f t="shared" si="1"/>
        <v>0</v>
      </c>
      <c r="U10" s="587">
        <f t="shared" si="1"/>
        <v>0</v>
      </c>
      <c r="V10" s="587">
        <f t="shared" si="1"/>
        <v>0</v>
      </c>
      <c r="W10" s="587">
        <f t="shared" si="1"/>
        <v>0</v>
      </c>
      <c r="X10" s="587">
        <f t="shared" si="1"/>
        <v>0</v>
      </c>
      <c r="Y10" s="587">
        <f t="shared" si="1"/>
        <v>0</v>
      </c>
      <c r="Z10" s="587">
        <f t="shared" si="1"/>
        <v>0</v>
      </c>
      <c r="AA10" s="587">
        <f t="shared" si="1"/>
        <v>0</v>
      </c>
      <c r="AB10" s="587">
        <f t="shared" si="1"/>
        <v>0</v>
      </c>
      <c r="AC10" s="141">
        <f t="shared" si="1"/>
        <v>0</v>
      </c>
      <c r="AD10" s="588">
        <f t="shared" si="1"/>
        <v>0</v>
      </c>
      <c r="AE10" s="589">
        <f t="shared" si="1"/>
        <v>0</v>
      </c>
      <c r="AF10" s="588">
        <f t="shared" si="1"/>
        <v>0</v>
      </c>
      <c r="AG10" s="589">
        <f t="shared" si="1"/>
        <v>0</v>
      </c>
      <c r="AH10"/>
      <c r="AL10"/>
      <c r="AM10"/>
      <c r="AN10"/>
    </row>
    <row r="11" spans="1:40" ht="12.4" customHeight="1" x14ac:dyDescent="0.2">
      <c r="A11" s="142"/>
      <c r="B11" s="532"/>
      <c r="C11" s="533"/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143"/>
      <c r="P11" s="144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143"/>
      <c r="AD11" s="534"/>
      <c r="AE11" s="535"/>
      <c r="AF11" s="533"/>
      <c r="AG11" s="535"/>
      <c r="AH11"/>
      <c r="AL11"/>
      <c r="AM11"/>
      <c r="AN11"/>
    </row>
    <row r="12" spans="1:40" ht="18" customHeight="1" thickBot="1" x14ac:dyDescent="0.25">
      <c r="A12" s="48" t="s">
        <v>210</v>
      </c>
      <c r="B12" s="145"/>
      <c r="C12" s="146">
        <f t="shared" ref="C12:N12" si="2">SUM(C7:C9)</f>
        <v>0</v>
      </c>
      <c r="D12" s="146">
        <f t="shared" si="2"/>
        <v>0</v>
      </c>
      <c r="E12" s="146">
        <f t="shared" si="2"/>
        <v>0</v>
      </c>
      <c r="F12" s="146">
        <f t="shared" si="2"/>
        <v>0</v>
      </c>
      <c r="G12" s="146">
        <f t="shared" si="2"/>
        <v>0</v>
      </c>
      <c r="H12" s="146">
        <f t="shared" si="2"/>
        <v>0</v>
      </c>
      <c r="I12" s="146">
        <f t="shared" si="2"/>
        <v>0</v>
      </c>
      <c r="J12" s="146">
        <f t="shared" si="2"/>
        <v>0</v>
      </c>
      <c r="K12" s="146">
        <f t="shared" si="2"/>
        <v>0</v>
      </c>
      <c r="L12" s="146">
        <f t="shared" si="2"/>
        <v>0</v>
      </c>
      <c r="M12" s="146">
        <f t="shared" si="2"/>
        <v>0</v>
      </c>
      <c r="N12" s="146">
        <f t="shared" si="2"/>
        <v>0</v>
      </c>
      <c r="O12" s="147">
        <f>SUM(C12:N12)</f>
        <v>0</v>
      </c>
      <c r="P12" s="146"/>
      <c r="Q12" s="146">
        <f t="shared" ref="Q12:AB12" si="3">SUM(Q7:Q9)</f>
        <v>0</v>
      </c>
      <c r="R12" s="146">
        <f t="shared" si="3"/>
        <v>0</v>
      </c>
      <c r="S12" s="146">
        <f t="shared" si="3"/>
        <v>0</v>
      </c>
      <c r="T12" s="146">
        <f t="shared" si="3"/>
        <v>0</v>
      </c>
      <c r="U12" s="146">
        <f t="shared" si="3"/>
        <v>0</v>
      </c>
      <c r="V12" s="146">
        <f t="shared" si="3"/>
        <v>0</v>
      </c>
      <c r="W12" s="146">
        <f t="shared" si="3"/>
        <v>0</v>
      </c>
      <c r="X12" s="146">
        <f t="shared" si="3"/>
        <v>0</v>
      </c>
      <c r="Y12" s="146">
        <f t="shared" si="3"/>
        <v>0</v>
      </c>
      <c r="Z12" s="146">
        <f t="shared" si="3"/>
        <v>0</v>
      </c>
      <c r="AA12" s="146">
        <f t="shared" si="3"/>
        <v>0</v>
      </c>
      <c r="AB12" s="146">
        <f t="shared" si="3"/>
        <v>0</v>
      </c>
      <c r="AC12" s="147">
        <f>SUM(Q12:AB12)</f>
        <v>0</v>
      </c>
      <c r="AD12" s="148">
        <f>SUM(AD7:AD9)</f>
        <v>0</v>
      </c>
      <c r="AE12" s="147">
        <f>SUM(AE7:AE9)</f>
        <v>0</v>
      </c>
      <c r="AF12" s="146">
        <f>SUM(AF7:AF9)</f>
        <v>0</v>
      </c>
      <c r="AG12" s="147">
        <f>SUM(AG7:AG9)</f>
        <v>0</v>
      </c>
      <c r="AH12"/>
      <c r="AL12"/>
      <c r="AM12"/>
      <c r="AN12"/>
    </row>
    <row r="13" spans="1:40" ht="12.4" customHeight="1" x14ac:dyDescent="0.2">
      <c r="A13"/>
      <c r="B13"/>
      <c r="C13" s="149"/>
      <c r="D13" s="149"/>
      <c r="E13" s="149"/>
      <c r="F13" s="108"/>
      <c r="G13" s="149"/>
      <c r="H13" s="149"/>
      <c r="I13" s="108"/>
      <c r="J13" s="149"/>
      <c r="K13" s="149"/>
      <c r="L13" s="149"/>
      <c r="M13" s="149"/>
      <c r="N13" s="149"/>
      <c r="O13" s="150"/>
      <c r="P13"/>
      <c r="Q13" s="149"/>
      <c r="R13" s="149"/>
      <c r="S13" s="149"/>
      <c r="T13" s="108"/>
      <c r="U13" s="149"/>
      <c r="V13" s="149"/>
      <c r="W13" s="108"/>
      <c r="X13" s="149"/>
      <c r="Y13" s="149"/>
      <c r="Z13" s="149"/>
      <c r="AA13" s="149"/>
      <c r="AB13"/>
      <c r="AC13" s="150"/>
      <c r="AD13" s="151"/>
      <c r="AE13" s="152"/>
      <c r="AF13" s="152"/>
      <c r="AG13" s="153"/>
      <c r="AH13"/>
      <c r="AL13"/>
      <c r="AM13"/>
      <c r="AN13"/>
    </row>
    <row r="14" spans="1:40" ht="16.149999999999999" customHeight="1" x14ac:dyDescent="0.2">
      <c r="A14" s="2" t="s">
        <v>195</v>
      </c>
      <c r="B14" s="132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33"/>
      <c r="P14" s="134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133"/>
      <c r="AD14" s="135"/>
      <c r="AE14" s="69"/>
      <c r="AF14" s="68"/>
      <c r="AG14" s="69"/>
      <c r="AH14"/>
      <c r="AL14"/>
      <c r="AM14"/>
      <c r="AN14"/>
    </row>
    <row r="15" spans="1:40" ht="12.4" customHeight="1" x14ac:dyDescent="0.2">
      <c r="A15" s="8"/>
      <c r="B15" s="136"/>
      <c r="C15" s="10" t="e">
        <f>IF(PS_DateSetting=1," Month 1",DATE(PS_StartingYear,PS_StartingMonth,15))</f>
        <v>#REF!</v>
      </c>
      <c r="D15" s="10" t="e">
        <f>IF(PS_DateSetting=1," Month 2",C15+30.4)</f>
        <v>#REF!</v>
      </c>
      <c r="E15" s="10" t="e">
        <f>IF(PS_DateSetting=1," Month 3",D15+30.4)</f>
        <v>#REF!</v>
      </c>
      <c r="F15" s="10" t="e">
        <f>IF(PS_DateSetting=1," Month 4",E15+30.4)</f>
        <v>#REF!</v>
      </c>
      <c r="G15" s="10" t="e">
        <f>IF(PS_DateSetting=1," Month 5",F15+30.4)</f>
        <v>#REF!</v>
      </c>
      <c r="H15" s="10" t="e">
        <f>IF(PS_DateSetting=1," Month 6",G15+30.4)</f>
        <v>#REF!</v>
      </c>
      <c r="I15" s="10" t="e">
        <f>IF(PS_DateSetting=1," Month 7",H15+30.4)</f>
        <v>#REF!</v>
      </c>
      <c r="J15" s="10" t="e">
        <f>IF(PS_DateSetting=1," Month 8",I15+30.4)</f>
        <v>#REF!</v>
      </c>
      <c r="K15" s="10" t="e">
        <f>IF(PS_DateSetting=1," Month 9",J15+30.4)</f>
        <v>#REF!</v>
      </c>
      <c r="L15" s="10" t="e">
        <f>IF(PS_DateSetting=1," Month 10",K15+30.4)</f>
        <v>#REF!</v>
      </c>
      <c r="M15" s="10" t="e">
        <f>IF(PS_DateSetting=1," Month 11",L15+30.4)</f>
        <v>#REF!</v>
      </c>
      <c r="N15" s="10" t="e">
        <f>IF(PS_DateSetting=1," Month 12",M15+30.4)</f>
        <v>#REF!</v>
      </c>
      <c r="O15" s="11" t="e">
        <f>IF(PS_DateSetting=1," Year 1",IF(PS_StartingMonth&gt;1,"FY "&amp;PS_StartingYear+1,PS_StartingYear))</f>
        <v>#REF!</v>
      </c>
      <c r="P15" s="12"/>
      <c r="Q15" s="10" t="e">
        <f>IF(PS_DateSetting=1," Month 13",DATE(PS_StartingYear,PS_StartingMonth,15))</f>
        <v>#REF!</v>
      </c>
      <c r="R15" s="10" t="e">
        <f>IF(PS_DateSetting=1," Month 14",Q15+30.4)</f>
        <v>#REF!</v>
      </c>
      <c r="S15" s="10" t="e">
        <f>IF(PS_DateSetting=1," Month 15",R15+30.4)</f>
        <v>#REF!</v>
      </c>
      <c r="T15" s="10" t="e">
        <f>IF(PS_DateSetting=1," Month 16",S15+30.4)</f>
        <v>#REF!</v>
      </c>
      <c r="U15" s="10" t="e">
        <f>IF(PS_DateSetting=1," Month 17",T15+30.4)</f>
        <v>#REF!</v>
      </c>
      <c r="V15" s="10" t="e">
        <f>IF(PS_DateSetting=1," Month 18",U15+30.4)</f>
        <v>#REF!</v>
      </c>
      <c r="W15" s="10" t="e">
        <f>IF(PS_DateSetting=1," Month 19",V15+30.4)</f>
        <v>#REF!</v>
      </c>
      <c r="X15" s="10" t="e">
        <f>IF(PS_DateSetting=1," Month 20",W15+30.4)</f>
        <v>#REF!</v>
      </c>
      <c r="Y15" s="10" t="e">
        <f>IF(PS_DateSetting=1," Month 21",X15+30.4)</f>
        <v>#REF!</v>
      </c>
      <c r="Z15" s="10" t="e">
        <f>IF(PS_DateSetting=1," Month 22",Y15+30.4)</f>
        <v>#REF!</v>
      </c>
      <c r="AA15" s="10" t="e">
        <f>IF(PS_DateSetting=1," Month 23",Z15+30.4)</f>
        <v>#REF!</v>
      </c>
      <c r="AB15" s="10" t="e">
        <f>IF(PS_DateSetting=1," Month 24",AA15+30.4)</f>
        <v>#REF!</v>
      </c>
      <c r="AC15" s="11" t="e">
        <f>IF(PS_DateSetting=1," Year 2",IF(PS_StartingMonth&gt;1,"FY "&amp;PS_StartingYear+2,PS_StartingYear+1))</f>
        <v>#REF!</v>
      </c>
      <c r="AD15" s="137" t="e">
        <f>IF(PS_DateSetting=1," Year 2",IF(PS_StartingMonth&gt;1,"FY "&amp;PS_StartingYear+2,PS_StartingYear+1))</f>
        <v>#REF!</v>
      </c>
      <c r="AE15" s="11" t="e">
        <f>IF(PS_DateSetting=1," Year 3",IF(PS_StartingMonth&gt;1,"FY "&amp;PS_StartingYear+3,PS_StartingYear+2))</f>
        <v>#REF!</v>
      </c>
      <c r="AF15" s="13" t="e">
        <f>IF(PS_DateSetting=1," Year 4",IF(PS_StartingMonth&gt;1,"FY "&amp;PS_StartingYear+4,PS_StartingYear+3))</f>
        <v>#REF!</v>
      </c>
      <c r="AG15" s="11" t="e">
        <f>IF(PS_DateSetting=1," Year 5",IF(PS_StartingMonth&gt;1,"FY "&amp;PS_StartingYear+5,PS_StartingYear+4))</f>
        <v>#REF!</v>
      </c>
      <c r="AH15"/>
      <c r="AL15"/>
      <c r="AM15"/>
      <c r="AN15"/>
    </row>
    <row r="16" spans="1:40" ht="16.149999999999999" customHeight="1" x14ac:dyDescent="0.2">
      <c r="A16" s="25" t="e">
        <f>PS_ProductionLabel&amp;" Personnel"</f>
        <v>#REF!</v>
      </c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6"/>
      <c r="P16" s="157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6"/>
      <c r="AD16" s="158"/>
      <c r="AE16" s="156"/>
      <c r="AF16" s="159"/>
      <c r="AG16" s="156"/>
      <c r="AH16"/>
      <c r="AL16"/>
      <c r="AM16"/>
      <c r="AN16"/>
    </row>
    <row r="17" spans="1:40" ht="12.4" customHeight="1" x14ac:dyDescent="0.2">
      <c r="A17" s="497" t="s">
        <v>26</v>
      </c>
      <c r="B17" s="530"/>
      <c r="C17" s="479">
        <v>0</v>
      </c>
      <c r="D17" s="479">
        <v>0</v>
      </c>
      <c r="E17" s="479">
        <v>0</v>
      </c>
      <c r="F17" s="479">
        <v>0</v>
      </c>
      <c r="G17" s="479">
        <v>0</v>
      </c>
      <c r="H17" s="479">
        <v>0</v>
      </c>
      <c r="I17" s="479">
        <v>0</v>
      </c>
      <c r="J17" s="479">
        <v>0</v>
      </c>
      <c r="K17" s="479">
        <v>0</v>
      </c>
      <c r="L17" s="479">
        <v>0</v>
      </c>
      <c r="M17" s="479">
        <v>0</v>
      </c>
      <c r="N17" s="479">
        <v>0</v>
      </c>
      <c r="O17" s="103">
        <f>SUM(C17:N17)</f>
        <v>0</v>
      </c>
      <c r="P17" s="462"/>
      <c r="Q17" s="479">
        <v>0</v>
      </c>
      <c r="R17" s="479">
        <v>0</v>
      </c>
      <c r="S17" s="479">
        <v>0</v>
      </c>
      <c r="T17" s="479">
        <v>0</v>
      </c>
      <c r="U17" s="479">
        <v>0</v>
      </c>
      <c r="V17" s="479">
        <v>0</v>
      </c>
      <c r="W17" s="479">
        <v>0</v>
      </c>
      <c r="X17" s="479">
        <v>0</v>
      </c>
      <c r="Y17" s="479">
        <v>0</v>
      </c>
      <c r="Z17" s="479">
        <v>0</v>
      </c>
      <c r="AA17" s="479">
        <v>0</v>
      </c>
      <c r="AB17" s="479">
        <v>0</v>
      </c>
      <c r="AC17" s="103">
        <f>SUM(Q17:AB17)</f>
        <v>0</v>
      </c>
      <c r="AD17" s="480">
        <v>0</v>
      </c>
      <c r="AE17" s="481">
        <v>0</v>
      </c>
      <c r="AF17" s="480">
        <v>0</v>
      </c>
      <c r="AG17" s="481">
        <v>0</v>
      </c>
      <c r="AH17"/>
      <c r="AL17"/>
      <c r="AM17"/>
      <c r="AN17"/>
    </row>
    <row r="18" spans="1:40" ht="12.4" customHeight="1" x14ac:dyDescent="0.2">
      <c r="A18" s="492" t="s">
        <v>26</v>
      </c>
      <c r="B18" s="498"/>
      <c r="C18" s="482">
        <v>0</v>
      </c>
      <c r="D18" s="482">
        <v>0</v>
      </c>
      <c r="E18" s="482">
        <v>0</v>
      </c>
      <c r="F18" s="482">
        <v>0</v>
      </c>
      <c r="G18" s="482">
        <v>0</v>
      </c>
      <c r="H18" s="482">
        <v>0</v>
      </c>
      <c r="I18" s="482">
        <v>0</v>
      </c>
      <c r="J18" s="482">
        <v>0</v>
      </c>
      <c r="K18" s="482">
        <v>0</v>
      </c>
      <c r="L18" s="482">
        <v>0</v>
      </c>
      <c r="M18" s="482">
        <v>0</v>
      </c>
      <c r="N18" s="482">
        <v>0</v>
      </c>
      <c r="O18" s="103">
        <f>SUM(C18:N18)</f>
        <v>0</v>
      </c>
      <c r="P18" s="463"/>
      <c r="Q18" s="482">
        <v>0</v>
      </c>
      <c r="R18" s="482">
        <v>0</v>
      </c>
      <c r="S18" s="482">
        <v>0</v>
      </c>
      <c r="T18" s="482">
        <v>0</v>
      </c>
      <c r="U18" s="482">
        <v>0</v>
      </c>
      <c r="V18" s="482">
        <v>0</v>
      </c>
      <c r="W18" s="482">
        <v>0</v>
      </c>
      <c r="X18" s="482">
        <v>0</v>
      </c>
      <c r="Y18" s="482">
        <v>0</v>
      </c>
      <c r="Z18" s="482">
        <v>0</v>
      </c>
      <c r="AA18" s="482">
        <v>0</v>
      </c>
      <c r="AB18" s="482">
        <v>0</v>
      </c>
      <c r="AC18" s="103">
        <f>SUM(Q18:AB18)</f>
        <v>0</v>
      </c>
      <c r="AD18" s="483">
        <v>0</v>
      </c>
      <c r="AE18" s="484">
        <v>0</v>
      </c>
      <c r="AF18" s="483">
        <v>0</v>
      </c>
      <c r="AG18" s="484">
        <v>0</v>
      </c>
      <c r="AH18"/>
      <c r="AL18"/>
      <c r="AM18"/>
      <c r="AN18"/>
    </row>
    <row r="19" spans="1:40" ht="12.4" customHeight="1" x14ac:dyDescent="0.2">
      <c r="A19" s="499" t="s">
        <v>26</v>
      </c>
      <c r="B19" s="531"/>
      <c r="C19" s="487">
        <v>0</v>
      </c>
      <c r="D19" s="487">
        <v>0</v>
      </c>
      <c r="E19" s="487">
        <v>0</v>
      </c>
      <c r="F19" s="487">
        <v>0</v>
      </c>
      <c r="G19" s="487">
        <v>0</v>
      </c>
      <c r="H19" s="487">
        <v>0</v>
      </c>
      <c r="I19" s="487">
        <v>0</v>
      </c>
      <c r="J19" s="487">
        <v>0</v>
      </c>
      <c r="K19" s="487">
        <v>0</v>
      </c>
      <c r="L19" s="487">
        <v>0</v>
      </c>
      <c r="M19" s="487">
        <v>0</v>
      </c>
      <c r="N19" s="487">
        <v>0</v>
      </c>
      <c r="O19" s="160">
        <f>SUM(C19:N19)</f>
        <v>0</v>
      </c>
      <c r="P19" s="464"/>
      <c r="Q19" s="487">
        <v>0</v>
      </c>
      <c r="R19" s="487">
        <v>0</v>
      </c>
      <c r="S19" s="487">
        <v>0</v>
      </c>
      <c r="T19" s="487">
        <v>0</v>
      </c>
      <c r="U19" s="487">
        <v>0</v>
      </c>
      <c r="V19" s="487">
        <v>0</v>
      </c>
      <c r="W19" s="487">
        <v>0</v>
      </c>
      <c r="X19" s="487">
        <v>0</v>
      </c>
      <c r="Y19" s="487">
        <v>0</v>
      </c>
      <c r="Z19" s="487">
        <v>0</v>
      </c>
      <c r="AA19" s="487">
        <v>0</v>
      </c>
      <c r="AB19" s="487">
        <v>0</v>
      </c>
      <c r="AC19" s="160">
        <f>SUM(Q19:AB19)</f>
        <v>0</v>
      </c>
      <c r="AD19" s="488">
        <v>0</v>
      </c>
      <c r="AE19" s="489">
        <v>0</v>
      </c>
      <c r="AF19" s="488">
        <v>0</v>
      </c>
      <c r="AG19" s="489">
        <v>0</v>
      </c>
      <c r="AH19"/>
      <c r="AL19"/>
      <c r="AM19"/>
      <c r="AN19"/>
    </row>
    <row r="20" spans="1:40" ht="12.4" customHeight="1" x14ac:dyDescent="0.2">
      <c r="A20" s="161" t="s">
        <v>84</v>
      </c>
      <c r="B20" s="162"/>
      <c r="C20" s="99">
        <f t="shared" ref="C20:N20" si="4">SUM(C17:C19)</f>
        <v>0</v>
      </c>
      <c r="D20" s="99">
        <f t="shared" si="4"/>
        <v>0</v>
      </c>
      <c r="E20" s="99">
        <f t="shared" si="4"/>
        <v>0</v>
      </c>
      <c r="F20" s="99">
        <f t="shared" si="4"/>
        <v>0</v>
      </c>
      <c r="G20" s="99">
        <f t="shared" si="4"/>
        <v>0</v>
      </c>
      <c r="H20" s="99">
        <f t="shared" si="4"/>
        <v>0</v>
      </c>
      <c r="I20" s="99">
        <f t="shared" si="4"/>
        <v>0</v>
      </c>
      <c r="J20" s="99">
        <f t="shared" si="4"/>
        <v>0</v>
      </c>
      <c r="K20" s="99">
        <f t="shared" si="4"/>
        <v>0</v>
      </c>
      <c r="L20" s="99">
        <f t="shared" si="4"/>
        <v>0</v>
      </c>
      <c r="M20" s="99">
        <f t="shared" si="4"/>
        <v>0</v>
      </c>
      <c r="N20" s="99">
        <f t="shared" si="4"/>
        <v>0</v>
      </c>
      <c r="O20" s="100">
        <f>SUM(C20:N20)</f>
        <v>0</v>
      </c>
      <c r="P20" s="99"/>
      <c r="Q20" s="99">
        <f t="shared" ref="Q20:AB20" si="5">SUM(Q17:Q19)</f>
        <v>0</v>
      </c>
      <c r="R20" s="99">
        <f t="shared" si="5"/>
        <v>0</v>
      </c>
      <c r="S20" s="99">
        <f t="shared" si="5"/>
        <v>0</v>
      </c>
      <c r="T20" s="99">
        <f t="shared" si="5"/>
        <v>0</v>
      </c>
      <c r="U20" s="99">
        <f t="shared" si="5"/>
        <v>0</v>
      </c>
      <c r="V20" s="99">
        <f t="shared" si="5"/>
        <v>0</v>
      </c>
      <c r="W20" s="99">
        <f t="shared" si="5"/>
        <v>0</v>
      </c>
      <c r="X20" s="99">
        <f t="shared" si="5"/>
        <v>0</v>
      </c>
      <c r="Y20" s="99">
        <f t="shared" si="5"/>
        <v>0</v>
      </c>
      <c r="Z20" s="99">
        <f t="shared" si="5"/>
        <v>0</v>
      </c>
      <c r="AA20" s="99">
        <f t="shared" si="5"/>
        <v>0</v>
      </c>
      <c r="AB20" s="99">
        <f t="shared" si="5"/>
        <v>0</v>
      </c>
      <c r="AC20" s="100">
        <f>SUM(Q20:AB20)</f>
        <v>0</v>
      </c>
      <c r="AD20" s="163">
        <f>SUM(AD17:AD19)</f>
        <v>0</v>
      </c>
      <c r="AE20" s="100">
        <f>SUM(AE17:AE19)</f>
        <v>0</v>
      </c>
      <c r="AF20" s="99">
        <f>SUM(AF17:AF19)</f>
        <v>0</v>
      </c>
      <c r="AG20" s="100">
        <f>SUM(AG17:AG19)</f>
        <v>0</v>
      </c>
      <c r="AH20"/>
      <c r="AL20"/>
      <c r="AM20"/>
      <c r="AN20"/>
    </row>
    <row r="21" spans="1:40" ht="12.4" customHeight="1" x14ac:dyDescent="0.2">
      <c r="A21" s="536"/>
      <c r="B21" s="164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55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55"/>
      <c r="AD21" s="165"/>
      <c r="AE21" s="55"/>
      <c r="AF21" s="120"/>
      <c r="AG21" s="55"/>
      <c r="AH21"/>
      <c r="AL21"/>
      <c r="AM21"/>
      <c r="AN21"/>
    </row>
    <row r="22" spans="1:40" ht="16.149999999999999" customHeight="1" x14ac:dyDescent="0.2">
      <c r="A22" s="25" t="e">
        <f>PS_SalesMarketingLabel&amp;" Personnel"</f>
        <v>#REF!</v>
      </c>
      <c r="B22" s="154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7"/>
      <c r="P22" s="168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7"/>
      <c r="AD22" s="169"/>
      <c r="AE22" s="167"/>
      <c r="AF22" s="170"/>
      <c r="AG22" s="167"/>
      <c r="AH22"/>
      <c r="AL22"/>
      <c r="AM22"/>
      <c r="AN22"/>
    </row>
    <row r="23" spans="1:40" ht="12.4" customHeight="1" x14ac:dyDescent="0.2">
      <c r="A23" s="497" t="s">
        <v>26</v>
      </c>
      <c r="B23" s="530"/>
      <c r="C23" s="479">
        <v>0</v>
      </c>
      <c r="D23" s="479">
        <v>0</v>
      </c>
      <c r="E23" s="479">
        <v>0</v>
      </c>
      <c r="F23" s="479">
        <v>0</v>
      </c>
      <c r="G23" s="479">
        <v>0</v>
      </c>
      <c r="H23" s="479">
        <v>0</v>
      </c>
      <c r="I23" s="479">
        <v>0</v>
      </c>
      <c r="J23" s="479">
        <v>0</v>
      </c>
      <c r="K23" s="479">
        <v>0</v>
      </c>
      <c r="L23" s="479">
        <v>0</v>
      </c>
      <c r="M23" s="479">
        <v>0</v>
      </c>
      <c r="N23" s="479">
        <v>0</v>
      </c>
      <c r="O23" s="103">
        <f>SUM(C23:N23)</f>
        <v>0</v>
      </c>
      <c r="P23" s="462"/>
      <c r="Q23" s="479">
        <v>0</v>
      </c>
      <c r="R23" s="479">
        <v>0</v>
      </c>
      <c r="S23" s="479">
        <v>0</v>
      </c>
      <c r="T23" s="479">
        <v>0</v>
      </c>
      <c r="U23" s="479">
        <v>0</v>
      </c>
      <c r="V23" s="479">
        <v>0</v>
      </c>
      <c r="W23" s="479">
        <v>0</v>
      </c>
      <c r="X23" s="479">
        <v>0</v>
      </c>
      <c r="Y23" s="479">
        <v>0</v>
      </c>
      <c r="Z23" s="479">
        <v>0</v>
      </c>
      <c r="AA23" s="479">
        <v>0</v>
      </c>
      <c r="AB23" s="479">
        <v>0</v>
      </c>
      <c r="AC23" s="103">
        <f>SUM(Q23:AB23)</f>
        <v>0</v>
      </c>
      <c r="AD23" s="480">
        <v>0</v>
      </c>
      <c r="AE23" s="481">
        <v>0</v>
      </c>
      <c r="AF23" s="480">
        <v>0</v>
      </c>
      <c r="AG23" s="481">
        <v>0</v>
      </c>
      <c r="AH23"/>
      <c r="AL23"/>
      <c r="AM23"/>
      <c r="AN23"/>
    </row>
    <row r="24" spans="1:40" ht="12.4" customHeight="1" x14ac:dyDescent="0.2">
      <c r="A24" s="492" t="s">
        <v>26</v>
      </c>
      <c r="B24" s="498"/>
      <c r="C24" s="482">
        <v>0</v>
      </c>
      <c r="D24" s="482">
        <v>0</v>
      </c>
      <c r="E24" s="482">
        <v>0</v>
      </c>
      <c r="F24" s="482">
        <v>0</v>
      </c>
      <c r="G24" s="482">
        <v>0</v>
      </c>
      <c r="H24" s="482">
        <v>0</v>
      </c>
      <c r="I24" s="482">
        <v>0</v>
      </c>
      <c r="J24" s="482">
        <v>0</v>
      </c>
      <c r="K24" s="482">
        <v>0</v>
      </c>
      <c r="L24" s="482">
        <v>0</v>
      </c>
      <c r="M24" s="482">
        <v>0</v>
      </c>
      <c r="N24" s="482">
        <v>0</v>
      </c>
      <c r="O24" s="103">
        <f>SUM(C24:N24)</f>
        <v>0</v>
      </c>
      <c r="P24" s="463"/>
      <c r="Q24" s="482">
        <v>0</v>
      </c>
      <c r="R24" s="482">
        <v>0</v>
      </c>
      <c r="S24" s="482">
        <v>0</v>
      </c>
      <c r="T24" s="482">
        <v>0</v>
      </c>
      <c r="U24" s="482">
        <v>0</v>
      </c>
      <c r="V24" s="482">
        <v>0</v>
      </c>
      <c r="W24" s="482">
        <v>0</v>
      </c>
      <c r="X24" s="482">
        <v>0</v>
      </c>
      <c r="Y24" s="482">
        <v>0</v>
      </c>
      <c r="Z24" s="482">
        <v>0</v>
      </c>
      <c r="AA24" s="482">
        <v>0</v>
      </c>
      <c r="AB24" s="482">
        <v>0</v>
      </c>
      <c r="AC24" s="103">
        <f>SUM(Q24:AB24)</f>
        <v>0</v>
      </c>
      <c r="AD24" s="483">
        <v>0</v>
      </c>
      <c r="AE24" s="484">
        <v>0</v>
      </c>
      <c r="AF24" s="483">
        <v>0</v>
      </c>
      <c r="AG24" s="484">
        <v>0</v>
      </c>
      <c r="AH24"/>
      <c r="AL24"/>
      <c r="AM24"/>
      <c r="AN24"/>
    </row>
    <row r="25" spans="1:40" ht="12.4" customHeight="1" x14ac:dyDescent="0.2">
      <c r="A25" s="499" t="s">
        <v>26</v>
      </c>
      <c r="B25" s="531"/>
      <c r="C25" s="487">
        <v>0</v>
      </c>
      <c r="D25" s="487">
        <v>0</v>
      </c>
      <c r="E25" s="487">
        <v>0</v>
      </c>
      <c r="F25" s="487">
        <v>0</v>
      </c>
      <c r="G25" s="487">
        <v>0</v>
      </c>
      <c r="H25" s="487">
        <v>0</v>
      </c>
      <c r="I25" s="487">
        <v>0</v>
      </c>
      <c r="J25" s="487">
        <v>0</v>
      </c>
      <c r="K25" s="487">
        <v>0</v>
      </c>
      <c r="L25" s="487">
        <v>0</v>
      </c>
      <c r="M25" s="487">
        <v>0</v>
      </c>
      <c r="N25" s="487">
        <v>0</v>
      </c>
      <c r="O25" s="160">
        <f>SUM(C25:N25)</f>
        <v>0</v>
      </c>
      <c r="P25" s="464"/>
      <c r="Q25" s="487">
        <v>0</v>
      </c>
      <c r="R25" s="487">
        <v>0</v>
      </c>
      <c r="S25" s="487">
        <v>0</v>
      </c>
      <c r="T25" s="487">
        <v>0</v>
      </c>
      <c r="U25" s="487">
        <v>0</v>
      </c>
      <c r="V25" s="487">
        <v>0</v>
      </c>
      <c r="W25" s="487">
        <v>0</v>
      </c>
      <c r="X25" s="487">
        <v>0</v>
      </c>
      <c r="Y25" s="487">
        <v>0</v>
      </c>
      <c r="Z25" s="487">
        <v>0</v>
      </c>
      <c r="AA25" s="487">
        <v>0</v>
      </c>
      <c r="AB25" s="487">
        <v>0</v>
      </c>
      <c r="AC25" s="160">
        <f>SUM(Q25:AB25)</f>
        <v>0</v>
      </c>
      <c r="AD25" s="488">
        <v>0</v>
      </c>
      <c r="AE25" s="489">
        <v>0</v>
      </c>
      <c r="AF25" s="488">
        <v>0</v>
      </c>
      <c r="AG25" s="489">
        <v>0</v>
      </c>
      <c r="AH25"/>
      <c r="AL25"/>
      <c r="AM25"/>
      <c r="AN25"/>
    </row>
    <row r="26" spans="1:40" ht="12.4" customHeight="1" x14ac:dyDescent="0.2">
      <c r="A26" s="161" t="s">
        <v>84</v>
      </c>
      <c r="B26" s="162"/>
      <c r="C26" s="99">
        <f t="shared" ref="C26:N26" si="6">SUM(C23:C25)</f>
        <v>0</v>
      </c>
      <c r="D26" s="99">
        <f t="shared" si="6"/>
        <v>0</v>
      </c>
      <c r="E26" s="99">
        <f t="shared" si="6"/>
        <v>0</v>
      </c>
      <c r="F26" s="99">
        <f t="shared" si="6"/>
        <v>0</v>
      </c>
      <c r="G26" s="99">
        <f t="shared" si="6"/>
        <v>0</v>
      </c>
      <c r="H26" s="99">
        <f t="shared" si="6"/>
        <v>0</v>
      </c>
      <c r="I26" s="99">
        <f t="shared" si="6"/>
        <v>0</v>
      </c>
      <c r="J26" s="99">
        <f t="shared" si="6"/>
        <v>0</v>
      </c>
      <c r="K26" s="99">
        <f t="shared" si="6"/>
        <v>0</v>
      </c>
      <c r="L26" s="99">
        <f t="shared" si="6"/>
        <v>0</v>
      </c>
      <c r="M26" s="99">
        <f t="shared" si="6"/>
        <v>0</v>
      </c>
      <c r="N26" s="99">
        <f t="shared" si="6"/>
        <v>0</v>
      </c>
      <c r="O26" s="100">
        <f>SUM(C26:N26)</f>
        <v>0</v>
      </c>
      <c r="P26" s="99"/>
      <c r="Q26" s="99">
        <f t="shared" ref="Q26:AB26" si="7">SUM(Q23:Q25)</f>
        <v>0</v>
      </c>
      <c r="R26" s="99">
        <f t="shared" si="7"/>
        <v>0</v>
      </c>
      <c r="S26" s="99">
        <f t="shared" si="7"/>
        <v>0</v>
      </c>
      <c r="T26" s="99">
        <f t="shared" si="7"/>
        <v>0</v>
      </c>
      <c r="U26" s="99">
        <f t="shared" si="7"/>
        <v>0</v>
      </c>
      <c r="V26" s="99">
        <f t="shared" si="7"/>
        <v>0</v>
      </c>
      <c r="W26" s="99">
        <f t="shared" si="7"/>
        <v>0</v>
      </c>
      <c r="X26" s="99">
        <f t="shared" si="7"/>
        <v>0</v>
      </c>
      <c r="Y26" s="99">
        <f t="shared" si="7"/>
        <v>0</v>
      </c>
      <c r="Z26" s="99">
        <f t="shared" si="7"/>
        <v>0</v>
      </c>
      <c r="AA26" s="99">
        <f t="shared" si="7"/>
        <v>0</v>
      </c>
      <c r="AB26" s="99">
        <f t="shared" si="7"/>
        <v>0</v>
      </c>
      <c r="AC26" s="100">
        <f>SUM(Q26:AB26)</f>
        <v>0</v>
      </c>
      <c r="AD26" s="163">
        <f>SUM(AD23:AD25)</f>
        <v>0</v>
      </c>
      <c r="AE26" s="100">
        <f>SUM(AE23:AE25)</f>
        <v>0</v>
      </c>
      <c r="AF26" s="99">
        <f>SUM(AF23:AF25)</f>
        <v>0</v>
      </c>
      <c r="AG26" s="100">
        <f>SUM(AG23:AG25)</f>
        <v>0</v>
      </c>
      <c r="AH26"/>
      <c r="AL26"/>
      <c r="AM26"/>
      <c r="AN26"/>
    </row>
    <row r="27" spans="1:40" ht="12.4" customHeight="1" x14ac:dyDescent="0.2">
      <c r="A27" s="47"/>
      <c r="B27" s="164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55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55"/>
      <c r="AD27" s="165"/>
      <c r="AE27" s="55"/>
      <c r="AF27" s="120"/>
      <c r="AG27" s="55"/>
      <c r="AH27"/>
      <c r="AL27"/>
      <c r="AM27"/>
      <c r="AN27"/>
    </row>
    <row r="28" spans="1:40" ht="16.149999999999999" customHeight="1" x14ac:dyDescent="0.2">
      <c r="A28" s="25" t="e">
        <f>PS_AdministrativeLabel&amp;" Personnel"</f>
        <v>#REF!</v>
      </c>
      <c r="B28" s="154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7"/>
      <c r="P28" s="168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7"/>
      <c r="AD28" s="169"/>
      <c r="AE28" s="167"/>
      <c r="AF28" s="170"/>
      <c r="AG28" s="167"/>
      <c r="AH28"/>
      <c r="AL28"/>
      <c r="AM28"/>
      <c r="AN28"/>
    </row>
    <row r="29" spans="1:40" ht="12.4" customHeight="1" x14ac:dyDescent="0.2">
      <c r="A29" s="497" t="s">
        <v>26</v>
      </c>
      <c r="B29" s="530"/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103">
        <f>SUM(C29:N29)</f>
        <v>0</v>
      </c>
      <c r="P29" s="462"/>
      <c r="Q29" s="479">
        <v>0</v>
      </c>
      <c r="R29" s="479">
        <v>0</v>
      </c>
      <c r="S29" s="479">
        <v>0</v>
      </c>
      <c r="T29" s="479">
        <v>0</v>
      </c>
      <c r="U29" s="479">
        <v>0</v>
      </c>
      <c r="V29" s="479">
        <v>0</v>
      </c>
      <c r="W29" s="479">
        <v>0</v>
      </c>
      <c r="X29" s="479">
        <v>0</v>
      </c>
      <c r="Y29" s="479">
        <v>0</v>
      </c>
      <c r="Z29" s="479">
        <v>0</v>
      </c>
      <c r="AA29" s="479">
        <v>0</v>
      </c>
      <c r="AB29" s="479">
        <v>0</v>
      </c>
      <c r="AC29" s="103">
        <f>SUM(Q29:AB29)</f>
        <v>0</v>
      </c>
      <c r="AD29" s="480">
        <v>0</v>
      </c>
      <c r="AE29" s="481">
        <v>0</v>
      </c>
      <c r="AF29" s="480">
        <v>0</v>
      </c>
      <c r="AG29" s="481">
        <v>0</v>
      </c>
      <c r="AH29"/>
      <c r="AL29"/>
      <c r="AM29"/>
      <c r="AN29"/>
    </row>
    <row r="30" spans="1:40" ht="12.4" customHeight="1" x14ac:dyDescent="0.2">
      <c r="A30" s="492" t="s">
        <v>26</v>
      </c>
      <c r="B30" s="498"/>
      <c r="C30" s="482">
        <v>0</v>
      </c>
      <c r="D30" s="482">
        <v>0</v>
      </c>
      <c r="E30" s="482">
        <v>0</v>
      </c>
      <c r="F30" s="482">
        <v>0</v>
      </c>
      <c r="G30" s="482">
        <v>0</v>
      </c>
      <c r="H30" s="482">
        <v>0</v>
      </c>
      <c r="I30" s="482">
        <v>0</v>
      </c>
      <c r="J30" s="482">
        <v>0</v>
      </c>
      <c r="K30" s="482">
        <v>0</v>
      </c>
      <c r="L30" s="482">
        <v>0</v>
      </c>
      <c r="M30" s="482">
        <v>0</v>
      </c>
      <c r="N30" s="482">
        <v>0</v>
      </c>
      <c r="O30" s="103">
        <f>SUM(C30:N30)</f>
        <v>0</v>
      </c>
      <c r="P30" s="463"/>
      <c r="Q30" s="482">
        <v>0</v>
      </c>
      <c r="R30" s="482">
        <v>0</v>
      </c>
      <c r="S30" s="482">
        <v>0</v>
      </c>
      <c r="T30" s="482">
        <v>0</v>
      </c>
      <c r="U30" s="482">
        <v>0</v>
      </c>
      <c r="V30" s="482">
        <v>0</v>
      </c>
      <c r="W30" s="482">
        <v>0</v>
      </c>
      <c r="X30" s="482">
        <v>0</v>
      </c>
      <c r="Y30" s="482">
        <v>0</v>
      </c>
      <c r="Z30" s="482">
        <v>0</v>
      </c>
      <c r="AA30" s="482">
        <v>0</v>
      </c>
      <c r="AB30" s="482">
        <v>0</v>
      </c>
      <c r="AC30" s="103">
        <f>SUM(Q30:AB30)</f>
        <v>0</v>
      </c>
      <c r="AD30" s="483">
        <v>0</v>
      </c>
      <c r="AE30" s="484">
        <v>0</v>
      </c>
      <c r="AF30" s="483">
        <v>0</v>
      </c>
      <c r="AG30" s="484">
        <v>0</v>
      </c>
      <c r="AH30"/>
      <c r="AL30"/>
      <c r="AM30"/>
      <c r="AN30"/>
    </row>
    <row r="31" spans="1:40" ht="12.4" customHeight="1" x14ac:dyDescent="0.2">
      <c r="A31" s="499" t="s">
        <v>26</v>
      </c>
      <c r="B31" s="531"/>
      <c r="C31" s="487">
        <v>0</v>
      </c>
      <c r="D31" s="487">
        <v>0</v>
      </c>
      <c r="E31" s="487">
        <v>0</v>
      </c>
      <c r="F31" s="487">
        <v>0</v>
      </c>
      <c r="G31" s="487">
        <v>0</v>
      </c>
      <c r="H31" s="487">
        <v>0</v>
      </c>
      <c r="I31" s="487">
        <v>0</v>
      </c>
      <c r="J31" s="487">
        <v>0</v>
      </c>
      <c r="K31" s="487">
        <v>0</v>
      </c>
      <c r="L31" s="487">
        <v>0</v>
      </c>
      <c r="M31" s="487">
        <v>0</v>
      </c>
      <c r="N31" s="487">
        <v>0</v>
      </c>
      <c r="O31" s="160">
        <f>SUM(C31:N31)</f>
        <v>0</v>
      </c>
      <c r="P31" s="464"/>
      <c r="Q31" s="487">
        <v>0</v>
      </c>
      <c r="R31" s="487">
        <v>0</v>
      </c>
      <c r="S31" s="487">
        <v>0</v>
      </c>
      <c r="T31" s="487">
        <v>0</v>
      </c>
      <c r="U31" s="487">
        <v>0</v>
      </c>
      <c r="V31" s="487">
        <v>0</v>
      </c>
      <c r="W31" s="487">
        <v>0</v>
      </c>
      <c r="X31" s="487">
        <v>0</v>
      </c>
      <c r="Y31" s="487">
        <v>0</v>
      </c>
      <c r="Z31" s="487">
        <v>0</v>
      </c>
      <c r="AA31" s="487">
        <v>0</v>
      </c>
      <c r="AB31" s="487">
        <v>0</v>
      </c>
      <c r="AC31" s="160">
        <f>SUM(Q31:AB31)</f>
        <v>0</v>
      </c>
      <c r="AD31" s="488">
        <v>0</v>
      </c>
      <c r="AE31" s="489">
        <v>0</v>
      </c>
      <c r="AF31" s="488">
        <v>0</v>
      </c>
      <c r="AG31" s="489">
        <v>0</v>
      </c>
      <c r="AH31"/>
      <c r="AL31"/>
      <c r="AM31"/>
      <c r="AN31"/>
    </row>
    <row r="32" spans="1:40" ht="12.4" customHeight="1" x14ac:dyDescent="0.2">
      <c r="A32" s="161" t="s">
        <v>84</v>
      </c>
      <c r="B32" s="162"/>
      <c r="C32" s="99">
        <f t="shared" ref="C32:N32" si="8">SUM(C29:C31)</f>
        <v>0</v>
      </c>
      <c r="D32" s="99">
        <f t="shared" si="8"/>
        <v>0</v>
      </c>
      <c r="E32" s="99">
        <f t="shared" si="8"/>
        <v>0</v>
      </c>
      <c r="F32" s="99">
        <f t="shared" si="8"/>
        <v>0</v>
      </c>
      <c r="G32" s="99">
        <f t="shared" si="8"/>
        <v>0</v>
      </c>
      <c r="H32" s="99">
        <f t="shared" si="8"/>
        <v>0</v>
      </c>
      <c r="I32" s="99">
        <f t="shared" si="8"/>
        <v>0</v>
      </c>
      <c r="J32" s="99">
        <f t="shared" si="8"/>
        <v>0</v>
      </c>
      <c r="K32" s="99">
        <f t="shared" si="8"/>
        <v>0</v>
      </c>
      <c r="L32" s="99">
        <f t="shared" si="8"/>
        <v>0</v>
      </c>
      <c r="M32" s="99">
        <f t="shared" si="8"/>
        <v>0</v>
      </c>
      <c r="N32" s="99">
        <f t="shared" si="8"/>
        <v>0</v>
      </c>
      <c r="O32" s="100">
        <f>SUM(C32:N32)</f>
        <v>0</v>
      </c>
      <c r="P32" s="99"/>
      <c r="Q32" s="99">
        <f t="shared" ref="Q32:AB32" si="9">SUM(Q29:Q31)</f>
        <v>0</v>
      </c>
      <c r="R32" s="99">
        <f t="shared" si="9"/>
        <v>0</v>
      </c>
      <c r="S32" s="99">
        <f t="shared" si="9"/>
        <v>0</v>
      </c>
      <c r="T32" s="99">
        <f t="shared" si="9"/>
        <v>0</v>
      </c>
      <c r="U32" s="99">
        <f t="shared" si="9"/>
        <v>0</v>
      </c>
      <c r="V32" s="99">
        <f t="shared" si="9"/>
        <v>0</v>
      </c>
      <c r="W32" s="99">
        <f t="shared" si="9"/>
        <v>0</v>
      </c>
      <c r="X32" s="99">
        <f t="shared" si="9"/>
        <v>0</v>
      </c>
      <c r="Y32" s="99">
        <f t="shared" si="9"/>
        <v>0</v>
      </c>
      <c r="Z32" s="99">
        <f t="shared" si="9"/>
        <v>0</v>
      </c>
      <c r="AA32" s="99">
        <f t="shared" si="9"/>
        <v>0</v>
      </c>
      <c r="AB32" s="99">
        <f t="shared" si="9"/>
        <v>0</v>
      </c>
      <c r="AC32" s="100">
        <f>SUM(Q32:AB32)</f>
        <v>0</v>
      </c>
      <c r="AD32" s="163">
        <f>SUM(AD29:AD31)</f>
        <v>0</v>
      </c>
      <c r="AE32" s="100">
        <f>SUM(AE29:AE31)</f>
        <v>0</v>
      </c>
      <c r="AF32" s="99">
        <f>SUM(AF29:AF31)</f>
        <v>0</v>
      </c>
      <c r="AG32" s="100">
        <f>SUM(AG29:AG31)</f>
        <v>0</v>
      </c>
      <c r="AH32"/>
      <c r="AL32"/>
      <c r="AM32"/>
      <c r="AN32"/>
    </row>
    <row r="33" spans="1:40" ht="12.4" customHeight="1" x14ac:dyDescent="0.2">
      <c r="A33" s="47"/>
      <c r="B33" s="164"/>
      <c r="C33" s="120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55"/>
      <c r="P33" s="120"/>
      <c r="Q33" s="120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55"/>
      <c r="AD33" s="172"/>
      <c r="AE33" s="173"/>
      <c r="AF33" s="171"/>
      <c r="AG33" s="173"/>
      <c r="AH33"/>
      <c r="AL33"/>
      <c r="AM33"/>
      <c r="AN33"/>
    </row>
    <row r="34" spans="1:40" ht="16.149999999999999" customHeight="1" x14ac:dyDescent="0.2">
      <c r="A34" s="25" t="e">
        <f>PS_OtherLabel&amp;" Personnel"</f>
        <v>#REF!</v>
      </c>
      <c r="B34" s="154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7"/>
      <c r="P34" s="168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7"/>
      <c r="AD34" s="169"/>
      <c r="AE34" s="167"/>
      <c r="AF34" s="170"/>
      <c r="AG34" s="167"/>
      <c r="AH34"/>
      <c r="AL34"/>
      <c r="AM34"/>
      <c r="AN34"/>
    </row>
    <row r="35" spans="1:40" ht="12.4" customHeight="1" x14ac:dyDescent="0.2">
      <c r="A35" s="497" t="s">
        <v>26</v>
      </c>
      <c r="B35" s="530"/>
      <c r="C35" s="479">
        <v>0</v>
      </c>
      <c r="D35" s="479">
        <v>0</v>
      </c>
      <c r="E35" s="479">
        <v>0</v>
      </c>
      <c r="F35" s="479">
        <v>0</v>
      </c>
      <c r="G35" s="479">
        <v>0</v>
      </c>
      <c r="H35" s="479">
        <v>0</v>
      </c>
      <c r="I35" s="479">
        <v>0</v>
      </c>
      <c r="J35" s="479">
        <v>0</v>
      </c>
      <c r="K35" s="479">
        <v>0</v>
      </c>
      <c r="L35" s="479">
        <v>0</v>
      </c>
      <c r="M35" s="479">
        <v>0</v>
      </c>
      <c r="N35" s="479">
        <v>0</v>
      </c>
      <c r="O35" s="103">
        <f>SUM(C35:N35)</f>
        <v>0</v>
      </c>
      <c r="P35" s="462"/>
      <c r="Q35" s="479">
        <v>0</v>
      </c>
      <c r="R35" s="479">
        <v>0</v>
      </c>
      <c r="S35" s="479">
        <v>0</v>
      </c>
      <c r="T35" s="479">
        <v>0</v>
      </c>
      <c r="U35" s="479">
        <v>0</v>
      </c>
      <c r="V35" s="479">
        <v>0</v>
      </c>
      <c r="W35" s="479">
        <v>0</v>
      </c>
      <c r="X35" s="479">
        <v>0</v>
      </c>
      <c r="Y35" s="479">
        <v>0</v>
      </c>
      <c r="Z35" s="479">
        <v>0</v>
      </c>
      <c r="AA35" s="479">
        <v>0</v>
      </c>
      <c r="AB35" s="479">
        <v>0</v>
      </c>
      <c r="AC35" s="103">
        <f>SUM(Q35:AB35)</f>
        <v>0</v>
      </c>
      <c r="AD35" s="480">
        <v>0</v>
      </c>
      <c r="AE35" s="481">
        <v>0</v>
      </c>
      <c r="AF35" s="480">
        <v>0</v>
      </c>
      <c r="AG35" s="481">
        <v>0</v>
      </c>
      <c r="AH35"/>
      <c r="AL35"/>
      <c r="AM35"/>
      <c r="AN35"/>
    </row>
    <row r="36" spans="1:40" ht="12.4" customHeight="1" x14ac:dyDescent="0.2">
      <c r="A36" s="492" t="s">
        <v>26</v>
      </c>
      <c r="B36" s="498"/>
      <c r="C36" s="482">
        <v>0</v>
      </c>
      <c r="D36" s="482">
        <v>0</v>
      </c>
      <c r="E36" s="482">
        <v>0</v>
      </c>
      <c r="F36" s="482">
        <v>0</v>
      </c>
      <c r="G36" s="482">
        <v>0</v>
      </c>
      <c r="H36" s="482">
        <v>0</v>
      </c>
      <c r="I36" s="482">
        <v>0</v>
      </c>
      <c r="J36" s="482">
        <v>0</v>
      </c>
      <c r="K36" s="482">
        <v>0</v>
      </c>
      <c r="L36" s="482">
        <v>0</v>
      </c>
      <c r="M36" s="482">
        <v>0</v>
      </c>
      <c r="N36" s="482">
        <v>0</v>
      </c>
      <c r="O36" s="103">
        <f>SUM(C36:N36)</f>
        <v>0</v>
      </c>
      <c r="P36" s="463"/>
      <c r="Q36" s="482">
        <v>0</v>
      </c>
      <c r="R36" s="482">
        <v>0</v>
      </c>
      <c r="S36" s="482">
        <v>0</v>
      </c>
      <c r="T36" s="482">
        <v>0</v>
      </c>
      <c r="U36" s="482">
        <v>0</v>
      </c>
      <c r="V36" s="482">
        <v>0</v>
      </c>
      <c r="W36" s="482">
        <v>0</v>
      </c>
      <c r="X36" s="482">
        <v>0</v>
      </c>
      <c r="Y36" s="482">
        <v>0</v>
      </c>
      <c r="Z36" s="482">
        <v>0</v>
      </c>
      <c r="AA36" s="482">
        <v>0</v>
      </c>
      <c r="AB36" s="482">
        <v>0</v>
      </c>
      <c r="AC36" s="103">
        <f>SUM(Q36:AB36)</f>
        <v>0</v>
      </c>
      <c r="AD36" s="483">
        <v>0</v>
      </c>
      <c r="AE36" s="484">
        <v>0</v>
      </c>
      <c r="AF36" s="483">
        <v>0</v>
      </c>
      <c r="AG36" s="484">
        <v>0</v>
      </c>
      <c r="AH36"/>
      <c r="AL36"/>
      <c r="AM36"/>
      <c r="AN36"/>
    </row>
    <row r="37" spans="1:40" ht="12.4" customHeight="1" x14ac:dyDescent="0.2">
      <c r="A37" s="499" t="s">
        <v>26</v>
      </c>
      <c r="B37" s="531"/>
      <c r="C37" s="487">
        <v>0</v>
      </c>
      <c r="D37" s="487">
        <v>0</v>
      </c>
      <c r="E37" s="487">
        <v>0</v>
      </c>
      <c r="F37" s="487">
        <v>0</v>
      </c>
      <c r="G37" s="487">
        <v>0</v>
      </c>
      <c r="H37" s="487">
        <v>0</v>
      </c>
      <c r="I37" s="487">
        <v>0</v>
      </c>
      <c r="J37" s="487">
        <v>0</v>
      </c>
      <c r="K37" s="487">
        <v>0</v>
      </c>
      <c r="L37" s="487">
        <v>0</v>
      </c>
      <c r="M37" s="487">
        <v>0</v>
      </c>
      <c r="N37" s="487">
        <v>0</v>
      </c>
      <c r="O37" s="103">
        <f>SUM(C37:N37)</f>
        <v>0</v>
      </c>
      <c r="P37" s="464"/>
      <c r="Q37" s="487">
        <v>0</v>
      </c>
      <c r="R37" s="487">
        <v>0</v>
      </c>
      <c r="S37" s="487">
        <v>0</v>
      </c>
      <c r="T37" s="487">
        <v>0</v>
      </c>
      <c r="U37" s="487">
        <v>0</v>
      </c>
      <c r="V37" s="487">
        <v>0</v>
      </c>
      <c r="W37" s="487">
        <v>0</v>
      </c>
      <c r="X37" s="487">
        <v>0</v>
      </c>
      <c r="Y37" s="487">
        <v>0</v>
      </c>
      <c r="Z37" s="487">
        <v>0</v>
      </c>
      <c r="AA37" s="487">
        <v>0</v>
      </c>
      <c r="AB37" s="487">
        <v>0</v>
      </c>
      <c r="AC37" s="103">
        <f>SUM(Q37:AB37)</f>
        <v>0</v>
      </c>
      <c r="AD37" s="488">
        <v>0</v>
      </c>
      <c r="AE37" s="489">
        <v>0</v>
      </c>
      <c r="AF37" s="488">
        <v>0</v>
      </c>
      <c r="AG37" s="489">
        <v>0</v>
      </c>
      <c r="AH37"/>
      <c r="AL37"/>
      <c r="AM37"/>
      <c r="AN37"/>
    </row>
    <row r="38" spans="1:40" ht="12.4" customHeight="1" x14ac:dyDescent="0.2">
      <c r="A38" s="161" t="s">
        <v>84</v>
      </c>
      <c r="B38" s="162"/>
      <c r="C38" s="99">
        <f t="shared" ref="C38:N38" si="10">SUM(C35:C37)</f>
        <v>0</v>
      </c>
      <c r="D38" s="99">
        <f t="shared" si="10"/>
        <v>0</v>
      </c>
      <c r="E38" s="99">
        <f t="shared" si="10"/>
        <v>0</v>
      </c>
      <c r="F38" s="99">
        <f t="shared" si="10"/>
        <v>0</v>
      </c>
      <c r="G38" s="99">
        <f t="shared" si="10"/>
        <v>0</v>
      </c>
      <c r="H38" s="99">
        <f t="shared" si="10"/>
        <v>0</v>
      </c>
      <c r="I38" s="99">
        <f t="shared" si="10"/>
        <v>0</v>
      </c>
      <c r="J38" s="99">
        <f t="shared" si="10"/>
        <v>0</v>
      </c>
      <c r="K38" s="99">
        <f t="shared" si="10"/>
        <v>0</v>
      </c>
      <c r="L38" s="99">
        <f t="shared" si="10"/>
        <v>0</v>
      </c>
      <c r="M38" s="99">
        <f t="shared" si="10"/>
        <v>0</v>
      </c>
      <c r="N38" s="99">
        <f t="shared" si="10"/>
        <v>0</v>
      </c>
      <c r="O38" s="100">
        <f>SUM(C38:N38)</f>
        <v>0</v>
      </c>
      <c r="P38" s="99"/>
      <c r="Q38" s="99">
        <f t="shared" ref="Q38:AB38" si="11">SUM(Q35:Q37)</f>
        <v>0</v>
      </c>
      <c r="R38" s="99">
        <f t="shared" si="11"/>
        <v>0</v>
      </c>
      <c r="S38" s="99">
        <f t="shared" si="11"/>
        <v>0</v>
      </c>
      <c r="T38" s="99">
        <f t="shared" si="11"/>
        <v>0</v>
      </c>
      <c r="U38" s="99">
        <f t="shared" si="11"/>
        <v>0</v>
      </c>
      <c r="V38" s="99">
        <f t="shared" si="11"/>
        <v>0</v>
      </c>
      <c r="W38" s="99">
        <f t="shared" si="11"/>
        <v>0</v>
      </c>
      <c r="X38" s="99">
        <f t="shared" si="11"/>
        <v>0</v>
      </c>
      <c r="Y38" s="99">
        <f t="shared" si="11"/>
        <v>0</v>
      </c>
      <c r="Z38" s="99">
        <f t="shared" si="11"/>
        <v>0</v>
      </c>
      <c r="AA38" s="99">
        <f t="shared" si="11"/>
        <v>0</v>
      </c>
      <c r="AB38" s="99">
        <f t="shared" si="11"/>
        <v>0</v>
      </c>
      <c r="AC38" s="100">
        <f>SUM(Q38:AB38)</f>
        <v>0</v>
      </c>
      <c r="AD38" s="163">
        <f>SUM(AD35:AD37)</f>
        <v>0</v>
      </c>
      <c r="AE38" s="100">
        <f>SUM(AE35:AE37)</f>
        <v>0</v>
      </c>
      <c r="AF38" s="99">
        <f>SUM(AF35:AF37)</f>
        <v>0</v>
      </c>
      <c r="AG38" s="100">
        <f>SUM(AG35:AG37)</f>
        <v>0</v>
      </c>
      <c r="AH38"/>
      <c r="AL38"/>
      <c r="AM38"/>
      <c r="AN38"/>
    </row>
    <row r="39" spans="1:40" ht="12.4" customHeight="1" x14ac:dyDescent="0.2">
      <c r="A39" s="47"/>
      <c r="B39" s="164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55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55"/>
      <c r="AD39" s="165"/>
      <c r="AE39" s="55"/>
      <c r="AF39" s="120"/>
      <c r="AG39" s="55"/>
      <c r="AH39"/>
      <c r="AL39"/>
      <c r="AM39"/>
      <c r="AN39"/>
    </row>
    <row r="40" spans="1:40" ht="12.4" customHeight="1" x14ac:dyDescent="0.2">
      <c r="A40" s="33" t="s">
        <v>106</v>
      </c>
      <c r="B40" s="530"/>
      <c r="C40" s="586">
        <v>0</v>
      </c>
      <c r="D40" s="586">
        <f t="shared" ref="D40:O40" si="12">C40</f>
        <v>0</v>
      </c>
      <c r="E40" s="586">
        <f t="shared" si="12"/>
        <v>0</v>
      </c>
      <c r="F40" s="587">
        <f t="shared" si="12"/>
        <v>0</v>
      </c>
      <c r="G40" s="587">
        <f t="shared" si="12"/>
        <v>0</v>
      </c>
      <c r="H40" s="587">
        <f t="shared" si="12"/>
        <v>0</v>
      </c>
      <c r="I40" s="587">
        <f t="shared" si="12"/>
        <v>0</v>
      </c>
      <c r="J40" s="587">
        <f t="shared" si="12"/>
        <v>0</v>
      </c>
      <c r="K40" s="587">
        <f t="shared" si="12"/>
        <v>0</v>
      </c>
      <c r="L40" s="587">
        <f t="shared" si="12"/>
        <v>0</v>
      </c>
      <c r="M40" s="587">
        <f t="shared" si="12"/>
        <v>0</v>
      </c>
      <c r="N40" s="587">
        <f t="shared" si="12"/>
        <v>0</v>
      </c>
      <c r="O40" s="141">
        <f t="shared" si="12"/>
        <v>0</v>
      </c>
      <c r="P40" s="465"/>
      <c r="Q40" s="587">
        <f>O40</f>
        <v>0</v>
      </c>
      <c r="R40" s="587">
        <f t="shared" ref="R40:AG40" si="13">Q40</f>
        <v>0</v>
      </c>
      <c r="S40" s="587">
        <f t="shared" si="13"/>
        <v>0</v>
      </c>
      <c r="T40" s="587">
        <f t="shared" si="13"/>
        <v>0</v>
      </c>
      <c r="U40" s="587">
        <f t="shared" si="13"/>
        <v>0</v>
      </c>
      <c r="V40" s="587">
        <f t="shared" si="13"/>
        <v>0</v>
      </c>
      <c r="W40" s="587">
        <f t="shared" si="13"/>
        <v>0</v>
      </c>
      <c r="X40" s="587">
        <f t="shared" si="13"/>
        <v>0</v>
      </c>
      <c r="Y40" s="587">
        <f t="shared" si="13"/>
        <v>0</v>
      </c>
      <c r="Z40" s="587">
        <f t="shared" si="13"/>
        <v>0</v>
      </c>
      <c r="AA40" s="587">
        <f t="shared" si="13"/>
        <v>0</v>
      </c>
      <c r="AB40" s="587">
        <f t="shared" si="13"/>
        <v>0</v>
      </c>
      <c r="AC40" s="141">
        <f t="shared" si="13"/>
        <v>0</v>
      </c>
      <c r="AD40" s="588">
        <f t="shared" si="13"/>
        <v>0</v>
      </c>
      <c r="AE40" s="589">
        <f t="shared" si="13"/>
        <v>0</v>
      </c>
      <c r="AF40" s="588">
        <f t="shared" si="13"/>
        <v>0</v>
      </c>
      <c r="AG40" s="589">
        <f t="shared" si="13"/>
        <v>0</v>
      </c>
      <c r="AH40"/>
      <c r="AL40"/>
      <c r="AM40"/>
      <c r="AN40"/>
    </row>
    <row r="41" spans="1:40" ht="12.4" customHeight="1" x14ac:dyDescent="0.2">
      <c r="A41" s="47"/>
      <c r="B41" s="498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174"/>
      <c r="P41" s="175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174"/>
      <c r="AD41" s="538"/>
      <c r="AE41" s="539"/>
      <c r="AF41" s="537"/>
      <c r="AG41" s="539"/>
      <c r="AH41"/>
      <c r="AL41"/>
      <c r="AM41"/>
      <c r="AN41"/>
    </row>
    <row r="42" spans="1:40" ht="16.149999999999999" customHeight="1" x14ac:dyDescent="0.2">
      <c r="A42" s="48" t="s">
        <v>210</v>
      </c>
      <c r="B42" s="176"/>
      <c r="C42" s="177">
        <f t="shared" ref="C42:N42" si="14">Payroll3P+Payroll3SM+Payroll3GA+Payroll3OTH</f>
        <v>0</v>
      </c>
      <c r="D42" s="177">
        <f t="shared" si="14"/>
        <v>0</v>
      </c>
      <c r="E42" s="177">
        <f t="shared" si="14"/>
        <v>0</v>
      </c>
      <c r="F42" s="177">
        <f t="shared" si="14"/>
        <v>0</v>
      </c>
      <c r="G42" s="177">
        <f t="shared" si="14"/>
        <v>0</v>
      </c>
      <c r="H42" s="177">
        <f t="shared" si="14"/>
        <v>0</v>
      </c>
      <c r="I42" s="177">
        <f t="shared" si="14"/>
        <v>0</v>
      </c>
      <c r="J42" s="177">
        <f t="shared" si="14"/>
        <v>0</v>
      </c>
      <c r="K42" s="177">
        <f t="shared" si="14"/>
        <v>0</v>
      </c>
      <c r="L42" s="177">
        <f t="shared" si="14"/>
        <v>0</v>
      </c>
      <c r="M42" s="177">
        <f t="shared" si="14"/>
        <v>0</v>
      </c>
      <c r="N42" s="177">
        <f t="shared" si="14"/>
        <v>0</v>
      </c>
      <c r="O42" s="178">
        <f>SUM(C42:N42)</f>
        <v>0</v>
      </c>
      <c r="P42" s="177"/>
      <c r="Q42" s="177">
        <f t="shared" ref="Q42:AB42" si="15">Payroll3P+Payroll3SM+Payroll3GA+Payroll3OTH</f>
        <v>0</v>
      </c>
      <c r="R42" s="177">
        <f t="shared" si="15"/>
        <v>0</v>
      </c>
      <c r="S42" s="177">
        <f t="shared" si="15"/>
        <v>0</v>
      </c>
      <c r="T42" s="177">
        <f t="shared" si="15"/>
        <v>0</v>
      </c>
      <c r="U42" s="177">
        <f t="shared" si="15"/>
        <v>0</v>
      </c>
      <c r="V42" s="177">
        <f t="shared" si="15"/>
        <v>0</v>
      </c>
      <c r="W42" s="177">
        <f t="shared" si="15"/>
        <v>0</v>
      </c>
      <c r="X42" s="177">
        <f t="shared" si="15"/>
        <v>0</v>
      </c>
      <c r="Y42" s="177">
        <f t="shared" si="15"/>
        <v>0</v>
      </c>
      <c r="Z42" s="177">
        <f t="shared" si="15"/>
        <v>0</v>
      </c>
      <c r="AA42" s="177">
        <f t="shared" si="15"/>
        <v>0</v>
      </c>
      <c r="AB42" s="177">
        <f t="shared" si="15"/>
        <v>0</v>
      </c>
      <c r="AC42" s="178">
        <f>SUM(Q42:AB42)</f>
        <v>0</v>
      </c>
      <c r="AD42" s="179">
        <f>Payroll3P+Payroll3SM+Payroll3GA+Payroll3OTH</f>
        <v>0</v>
      </c>
      <c r="AE42" s="178">
        <f>Payroll3P+Payroll3SM+Payroll3GA+Payroll3OTH</f>
        <v>0</v>
      </c>
      <c r="AF42" s="177">
        <f>Payroll3P+Payroll3SM+Payroll3GA+Payroll3OTH</f>
        <v>0</v>
      </c>
      <c r="AG42" s="178">
        <f>Payroll3P+Payroll3SM+Payroll3GA+Payroll3OTH</f>
        <v>0</v>
      </c>
      <c r="AH42"/>
      <c r="AL42"/>
      <c r="AM42"/>
      <c r="AN42"/>
    </row>
    <row r="43" spans="1:40" ht="12.4" customHeight="1" x14ac:dyDescent="0.2">
      <c r="A43"/>
      <c r="B43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55"/>
      <c r="P43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/>
      <c r="AC43" s="55"/>
      <c r="AD43" s="180"/>
      <c r="AE43" s="108"/>
      <c r="AF43" s="540"/>
      <c r="AG43" s="181"/>
      <c r="AH43" s="20"/>
      <c r="AL43"/>
      <c r="AM43"/>
      <c r="AN43"/>
    </row>
    <row r="44" spans="1:40" ht="16.149999999999999" customHeight="1" x14ac:dyDescent="0.2">
      <c r="A44" s="2" t="s">
        <v>195</v>
      </c>
      <c r="B44" s="132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133"/>
      <c r="P44" s="134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133"/>
      <c r="AD44" s="135"/>
      <c r="AE44" s="69"/>
      <c r="AF44" s="68"/>
      <c r="AG44" s="69"/>
      <c r="AH44"/>
      <c r="AL44"/>
      <c r="AM44"/>
      <c r="AN44"/>
    </row>
    <row r="45" spans="1:40" ht="12.4" customHeight="1" x14ac:dyDescent="0.2">
      <c r="A45" s="8"/>
      <c r="B45" s="136"/>
      <c r="C45" s="10" t="e">
        <f>IF(PS_DateSetting=1," Month 1",DATE(PS_StartingYear,PS_StartingMonth,15))</f>
        <v>#REF!</v>
      </c>
      <c r="D45" s="10" t="e">
        <f>IF(PS_DateSetting=1," Month 2",C45+30.4)</f>
        <v>#REF!</v>
      </c>
      <c r="E45" s="10" t="e">
        <f>IF(PS_DateSetting=1," Month 3",D45+30.4)</f>
        <v>#REF!</v>
      </c>
      <c r="F45" s="10" t="e">
        <f>IF(PS_DateSetting=1," Month 4",E45+30.4)</f>
        <v>#REF!</v>
      </c>
      <c r="G45" s="10" t="e">
        <f>IF(PS_DateSetting=1," Month 5",F45+30.4)</f>
        <v>#REF!</v>
      </c>
      <c r="H45" s="10" t="e">
        <f>IF(PS_DateSetting=1," Month 6",G45+30.4)</f>
        <v>#REF!</v>
      </c>
      <c r="I45" s="10" t="e">
        <f>IF(PS_DateSetting=1," Month 7",H45+30.4)</f>
        <v>#REF!</v>
      </c>
      <c r="J45" s="10" t="e">
        <f>IF(PS_DateSetting=1," Month 8",I45+30.4)</f>
        <v>#REF!</v>
      </c>
      <c r="K45" s="10" t="e">
        <f>IF(PS_DateSetting=1," Month 9",J45+30.4)</f>
        <v>#REF!</v>
      </c>
      <c r="L45" s="10" t="e">
        <f>IF(PS_DateSetting=1," Month 10",K45+30.4)</f>
        <v>#REF!</v>
      </c>
      <c r="M45" s="10" t="e">
        <f>IF(PS_DateSetting=1," Month 11",L45+30.4)</f>
        <v>#REF!</v>
      </c>
      <c r="N45" s="10" t="e">
        <f>IF(PS_DateSetting=1," Month 12",M45+30.4)</f>
        <v>#REF!</v>
      </c>
      <c r="O45" s="11" t="e">
        <f>IF(PS_DateSetting=1," Year 1",IF(PS_StartingMonth&gt;1,"FY "&amp;PS_StartingYear+1,PS_StartingYear))</f>
        <v>#REF!</v>
      </c>
      <c r="P45" s="12"/>
      <c r="Q45" s="10" t="e">
        <f>IF(PS_DateSetting=1," Month 13",DATE(PS_StartingYear,PS_StartingMonth,15))</f>
        <v>#REF!</v>
      </c>
      <c r="R45" s="10" t="e">
        <f>IF(PS_DateSetting=1," Month 14",Q45+30.4)</f>
        <v>#REF!</v>
      </c>
      <c r="S45" s="10" t="e">
        <f>IF(PS_DateSetting=1," Month 15",R45+30.4)</f>
        <v>#REF!</v>
      </c>
      <c r="T45" s="10" t="e">
        <f>IF(PS_DateSetting=1," Month 16",S45+30.4)</f>
        <v>#REF!</v>
      </c>
      <c r="U45" s="10" t="e">
        <f>IF(PS_DateSetting=1," Month 17",T45+30.4)</f>
        <v>#REF!</v>
      </c>
      <c r="V45" s="10" t="e">
        <f>IF(PS_DateSetting=1," Month 18",U45+30.4)</f>
        <v>#REF!</v>
      </c>
      <c r="W45" s="10" t="e">
        <f>IF(PS_DateSetting=1," Month 19",V45+30.4)</f>
        <v>#REF!</v>
      </c>
      <c r="X45" s="10" t="e">
        <f>IF(PS_DateSetting=1," Month 20",W45+30.4)</f>
        <v>#REF!</v>
      </c>
      <c r="Y45" s="10" t="e">
        <f>IF(PS_DateSetting=1," Month 21",X45+30.4)</f>
        <v>#REF!</v>
      </c>
      <c r="Z45" s="10" t="e">
        <f>IF(PS_DateSetting=1," Month 22",Y45+30.4)</f>
        <v>#REF!</v>
      </c>
      <c r="AA45" s="10" t="e">
        <f>IF(PS_DateSetting=1," Month 23",Z45+30.4)</f>
        <v>#REF!</v>
      </c>
      <c r="AB45" s="10" t="e">
        <f>IF(PS_DateSetting=1," Month 24",AA45+30.4)</f>
        <v>#REF!</v>
      </c>
      <c r="AC45" s="11" t="e">
        <f>IF(PS_DateSetting=1," Year 2",IF(PS_StartingMonth&gt;1,"FY "&amp;PS_StartingYear+2,PS_StartingYear+1))</f>
        <v>#REF!</v>
      </c>
      <c r="AD45" s="137" t="e">
        <f>IF(PS_DateSetting=1," Year 2",IF(PS_StartingMonth&gt;1,"FY "&amp;PS_StartingYear+2,PS_StartingYear+1))</f>
        <v>#REF!</v>
      </c>
      <c r="AE45" s="11" t="e">
        <f>IF(PS_DateSetting=1," Year 3",IF(PS_StartingMonth&gt;1,"FY "&amp;PS_StartingYear+3,PS_StartingYear+2))</f>
        <v>#REF!</v>
      </c>
      <c r="AF45" s="13" t="e">
        <f>IF(PS_DateSetting=1," Year 4",IF(PS_StartingMonth&gt;1,"FY "&amp;PS_StartingYear+4,PS_StartingYear+3))</f>
        <v>#REF!</v>
      </c>
      <c r="AG45" s="11" t="e">
        <f>IF(PS_DateSetting=1," Year 5",IF(PS_StartingMonth&gt;1,"FY "&amp;PS_StartingYear+5,PS_StartingYear+4))</f>
        <v>#REF!</v>
      </c>
      <c r="AH45"/>
      <c r="AL45"/>
      <c r="AM45"/>
      <c r="AN45"/>
    </row>
    <row r="46" spans="1:40" ht="16.149999999999999" customHeight="1" x14ac:dyDescent="0.2">
      <c r="A46" s="25" t="e">
        <f>PS_ProductionLabel&amp;" Personnel"</f>
        <v>#REF!</v>
      </c>
      <c r="B46" s="154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7"/>
      <c r="P46" s="168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7"/>
      <c r="AD46" s="169"/>
      <c r="AE46" s="167"/>
      <c r="AF46" s="170"/>
      <c r="AG46" s="167"/>
      <c r="AH46"/>
      <c r="AL46"/>
      <c r="AM46"/>
      <c r="AN46"/>
    </row>
    <row r="47" spans="1:40" ht="12.4" customHeight="1" x14ac:dyDescent="0.2">
      <c r="A47" s="182" t="s">
        <v>211</v>
      </c>
      <c r="B47" s="530"/>
      <c r="C47" s="541">
        <v>0</v>
      </c>
      <c r="D47" s="541">
        <v>0</v>
      </c>
      <c r="E47" s="541">
        <v>0</v>
      </c>
      <c r="F47" s="542">
        <v>0</v>
      </c>
      <c r="G47" s="542">
        <v>0</v>
      </c>
      <c r="H47" s="542">
        <v>0</v>
      </c>
      <c r="I47" s="542">
        <v>0</v>
      </c>
      <c r="J47" s="542">
        <v>0</v>
      </c>
      <c r="K47" s="542">
        <v>0</v>
      </c>
      <c r="L47" s="542">
        <v>0</v>
      </c>
      <c r="M47" s="542">
        <v>0</v>
      </c>
      <c r="N47" s="542">
        <v>0</v>
      </c>
      <c r="O47" s="183">
        <f>N47</f>
        <v>0</v>
      </c>
      <c r="P47" s="466"/>
      <c r="Q47" s="542">
        <v>0</v>
      </c>
      <c r="R47" s="542">
        <v>0</v>
      </c>
      <c r="S47" s="542">
        <v>0</v>
      </c>
      <c r="T47" s="542">
        <v>0</v>
      </c>
      <c r="U47" s="542">
        <v>0</v>
      </c>
      <c r="V47" s="542">
        <v>0</v>
      </c>
      <c r="W47" s="542">
        <v>0</v>
      </c>
      <c r="X47" s="542">
        <v>0</v>
      </c>
      <c r="Y47" s="542">
        <v>0</v>
      </c>
      <c r="Z47" s="542">
        <v>0</v>
      </c>
      <c r="AA47" s="542">
        <v>0</v>
      </c>
      <c r="AB47" s="542">
        <v>0</v>
      </c>
      <c r="AC47" s="183">
        <f>AB47</f>
        <v>0</v>
      </c>
      <c r="AD47" s="543">
        <v>0</v>
      </c>
      <c r="AE47" s="544">
        <v>0</v>
      </c>
      <c r="AF47" s="543">
        <v>0</v>
      </c>
      <c r="AG47" s="544">
        <v>0</v>
      </c>
      <c r="AH47"/>
      <c r="AL47"/>
      <c r="AM47"/>
      <c r="AN47"/>
    </row>
    <row r="48" spans="1:40" ht="12.4" customHeight="1" x14ac:dyDescent="0.2">
      <c r="A48" s="182" t="s">
        <v>217</v>
      </c>
      <c r="B48" s="531"/>
      <c r="C48" s="487">
        <v>0</v>
      </c>
      <c r="D48" s="487">
        <v>0</v>
      </c>
      <c r="E48" s="487">
        <v>0</v>
      </c>
      <c r="F48" s="487">
        <v>0</v>
      </c>
      <c r="G48" s="487">
        <v>0</v>
      </c>
      <c r="H48" s="487">
        <v>0</v>
      </c>
      <c r="I48" s="487">
        <v>0</v>
      </c>
      <c r="J48" s="487">
        <v>0</v>
      </c>
      <c r="K48" s="487">
        <v>0</v>
      </c>
      <c r="L48" s="487">
        <v>0</v>
      </c>
      <c r="M48" s="487">
        <v>0</v>
      </c>
      <c r="N48" s="487">
        <v>0</v>
      </c>
      <c r="O48" s="103">
        <f>IF(O47&lt;&gt;0,O49/O47,0)</f>
        <v>0</v>
      </c>
      <c r="P48" s="464"/>
      <c r="Q48" s="487">
        <v>0</v>
      </c>
      <c r="R48" s="487">
        <v>0</v>
      </c>
      <c r="S48" s="487">
        <v>0</v>
      </c>
      <c r="T48" s="487">
        <v>0</v>
      </c>
      <c r="U48" s="487">
        <v>0</v>
      </c>
      <c r="V48" s="487">
        <v>0</v>
      </c>
      <c r="W48" s="487">
        <v>0</v>
      </c>
      <c r="X48" s="487">
        <v>0</v>
      </c>
      <c r="Y48" s="487">
        <v>0</v>
      </c>
      <c r="Z48" s="487">
        <v>0</v>
      </c>
      <c r="AA48" s="487">
        <v>0</v>
      </c>
      <c r="AB48" s="487">
        <v>0</v>
      </c>
      <c r="AC48" s="103">
        <f>IF(AC47&lt;&gt;0,AC49/AC47,0)</f>
        <v>0</v>
      </c>
      <c r="AD48" s="488">
        <v>0</v>
      </c>
      <c r="AE48" s="489">
        <v>0</v>
      </c>
      <c r="AF48" s="488">
        <v>0</v>
      </c>
      <c r="AG48" s="489">
        <v>0</v>
      </c>
      <c r="AH48"/>
      <c r="AL48"/>
      <c r="AM48"/>
      <c r="AN48"/>
    </row>
    <row r="49" spans="1:40" ht="12.4" customHeight="1" x14ac:dyDescent="0.2">
      <c r="A49" s="161" t="s">
        <v>84</v>
      </c>
      <c r="B49" s="162"/>
      <c r="C49" s="99">
        <f t="shared" ref="C49:N49" si="16">C47*C48</f>
        <v>0</v>
      </c>
      <c r="D49" s="99">
        <f t="shared" si="16"/>
        <v>0</v>
      </c>
      <c r="E49" s="99">
        <f t="shared" si="16"/>
        <v>0</v>
      </c>
      <c r="F49" s="99">
        <f t="shared" si="16"/>
        <v>0</v>
      </c>
      <c r="G49" s="99">
        <f t="shared" si="16"/>
        <v>0</v>
      </c>
      <c r="H49" s="99">
        <f t="shared" si="16"/>
        <v>0</v>
      </c>
      <c r="I49" s="99">
        <f t="shared" si="16"/>
        <v>0</v>
      </c>
      <c r="J49" s="99">
        <f t="shared" si="16"/>
        <v>0</v>
      </c>
      <c r="K49" s="99">
        <f t="shared" si="16"/>
        <v>0</v>
      </c>
      <c r="L49" s="99">
        <f t="shared" si="16"/>
        <v>0</v>
      </c>
      <c r="M49" s="99">
        <f t="shared" si="16"/>
        <v>0</v>
      </c>
      <c r="N49" s="99">
        <f t="shared" si="16"/>
        <v>0</v>
      </c>
      <c r="O49" s="100">
        <f>SUM(C49:N49)</f>
        <v>0</v>
      </c>
      <c r="P49" s="99"/>
      <c r="Q49" s="99">
        <f t="shared" ref="Q49:AB49" si="17">Q47*Q48</f>
        <v>0</v>
      </c>
      <c r="R49" s="99">
        <f t="shared" si="17"/>
        <v>0</v>
      </c>
      <c r="S49" s="99">
        <f t="shared" si="17"/>
        <v>0</v>
      </c>
      <c r="T49" s="99">
        <f t="shared" si="17"/>
        <v>0</v>
      </c>
      <c r="U49" s="99">
        <f t="shared" si="17"/>
        <v>0</v>
      </c>
      <c r="V49" s="99">
        <f t="shared" si="17"/>
        <v>0</v>
      </c>
      <c r="W49" s="99">
        <f t="shared" si="17"/>
        <v>0</v>
      </c>
      <c r="X49" s="99">
        <f t="shared" si="17"/>
        <v>0</v>
      </c>
      <c r="Y49" s="99">
        <f t="shared" si="17"/>
        <v>0</v>
      </c>
      <c r="Z49" s="99">
        <f t="shared" si="17"/>
        <v>0</v>
      </c>
      <c r="AA49" s="99">
        <f t="shared" si="17"/>
        <v>0</v>
      </c>
      <c r="AB49" s="99">
        <f t="shared" si="17"/>
        <v>0</v>
      </c>
      <c r="AC49" s="100">
        <f>SUM(Q49:AB49)</f>
        <v>0</v>
      </c>
      <c r="AD49" s="163">
        <f>AD47*AD48</f>
        <v>0</v>
      </c>
      <c r="AE49" s="100">
        <f>AE47*AE48</f>
        <v>0</v>
      </c>
      <c r="AF49" s="99">
        <f>AF47*AF48</f>
        <v>0</v>
      </c>
      <c r="AG49" s="100">
        <f>AG47*AG48</f>
        <v>0</v>
      </c>
      <c r="AH49"/>
      <c r="AL49"/>
      <c r="AM49"/>
      <c r="AN49"/>
    </row>
    <row r="50" spans="1:40" ht="12.4" customHeight="1" x14ac:dyDescent="0.2">
      <c r="A50" s="536"/>
      <c r="B50" s="164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55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55"/>
      <c r="AD50" s="165"/>
      <c r="AE50" s="55"/>
      <c r="AF50" s="120"/>
      <c r="AG50" s="55"/>
      <c r="AH50"/>
      <c r="AL50"/>
      <c r="AM50"/>
      <c r="AN50"/>
    </row>
    <row r="51" spans="1:40" ht="16.149999999999999" customHeight="1" thickBot="1" x14ac:dyDescent="0.25">
      <c r="A51" s="25" t="e">
        <f>PS_SalesMarketingLabel&amp;" Personnel"</f>
        <v>#REF!</v>
      </c>
      <c r="B51" s="154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7"/>
      <c r="P51" s="468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7"/>
      <c r="AD51" s="169"/>
      <c r="AE51" s="167"/>
      <c r="AF51" s="170"/>
      <c r="AG51" s="167"/>
      <c r="AH51"/>
      <c r="AL51"/>
      <c r="AM51"/>
      <c r="AN51"/>
    </row>
    <row r="52" spans="1:40" ht="12.4" customHeight="1" x14ac:dyDescent="0.2">
      <c r="A52" s="182" t="s">
        <v>211</v>
      </c>
      <c r="B52" s="530"/>
      <c r="C52" s="542">
        <v>0</v>
      </c>
      <c r="D52" s="542">
        <v>0</v>
      </c>
      <c r="E52" s="542">
        <v>0</v>
      </c>
      <c r="F52" s="542">
        <v>0</v>
      </c>
      <c r="G52" s="542">
        <v>0</v>
      </c>
      <c r="H52" s="542">
        <v>0</v>
      </c>
      <c r="I52" s="542">
        <v>0</v>
      </c>
      <c r="J52" s="542">
        <v>0</v>
      </c>
      <c r="K52" s="542">
        <v>0</v>
      </c>
      <c r="L52" s="542">
        <v>0</v>
      </c>
      <c r="M52" s="542">
        <v>0</v>
      </c>
      <c r="N52" s="542">
        <v>0</v>
      </c>
      <c r="O52" s="183">
        <f>N52</f>
        <v>0</v>
      </c>
      <c r="P52" s="467"/>
      <c r="Q52" s="542">
        <v>0</v>
      </c>
      <c r="R52" s="542">
        <v>0</v>
      </c>
      <c r="S52" s="542">
        <v>0</v>
      </c>
      <c r="T52" s="542">
        <v>0</v>
      </c>
      <c r="U52" s="542">
        <v>0</v>
      </c>
      <c r="V52" s="542">
        <v>0</v>
      </c>
      <c r="W52" s="542">
        <v>0</v>
      </c>
      <c r="X52" s="542">
        <v>0</v>
      </c>
      <c r="Y52" s="542">
        <v>0</v>
      </c>
      <c r="Z52" s="542">
        <v>0</v>
      </c>
      <c r="AA52" s="542">
        <v>0</v>
      </c>
      <c r="AB52" s="542">
        <v>0</v>
      </c>
      <c r="AC52" s="183">
        <f>AB52</f>
        <v>0</v>
      </c>
      <c r="AD52" s="543">
        <v>0</v>
      </c>
      <c r="AE52" s="544">
        <v>0</v>
      </c>
      <c r="AF52" s="543">
        <v>0</v>
      </c>
      <c r="AG52" s="544">
        <v>0</v>
      </c>
      <c r="AH52"/>
      <c r="AL52"/>
      <c r="AM52"/>
      <c r="AN52"/>
    </row>
    <row r="53" spans="1:40" ht="12.4" customHeight="1" x14ac:dyDescent="0.2">
      <c r="A53" s="182" t="s">
        <v>217</v>
      </c>
      <c r="B53" s="531"/>
      <c r="C53" s="487">
        <v>0</v>
      </c>
      <c r="D53" s="487">
        <v>0</v>
      </c>
      <c r="E53" s="487">
        <v>0</v>
      </c>
      <c r="F53" s="487">
        <v>0</v>
      </c>
      <c r="G53" s="487">
        <v>0</v>
      </c>
      <c r="H53" s="487">
        <v>0</v>
      </c>
      <c r="I53" s="487">
        <v>0</v>
      </c>
      <c r="J53" s="487">
        <v>0</v>
      </c>
      <c r="K53" s="487">
        <v>0</v>
      </c>
      <c r="L53" s="487">
        <v>0</v>
      </c>
      <c r="M53" s="487">
        <v>0</v>
      </c>
      <c r="N53" s="487">
        <v>0</v>
      </c>
      <c r="O53" s="103">
        <f>IF(O52&lt;&gt;0,O54/O52,0)</f>
        <v>0</v>
      </c>
      <c r="P53" s="464"/>
      <c r="Q53" s="487">
        <v>0</v>
      </c>
      <c r="R53" s="487">
        <v>0</v>
      </c>
      <c r="S53" s="487">
        <v>0</v>
      </c>
      <c r="T53" s="487">
        <v>0</v>
      </c>
      <c r="U53" s="487">
        <v>0</v>
      </c>
      <c r="V53" s="487">
        <v>0</v>
      </c>
      <c r="W53" s="487">
        <v>0</v>
      </c>
      <c r="X53" s="487">
        <v>0</v>
      </c>
      <c r="Y53" s="487">
        <v>0</v>
      </c>
      <c r="Z53" s="487">
        <v>0</v>
      </c>
      <c r="AA53" s="487">
        <v>0</v>
      </c>
      <c r="AB53" s="487">
        <v>0</v>
      </c>
      <c r="AC53" s="103">
        <f>IF(AC52&lt;&gt;0,AC54/AC52,0)</f>
        <v>0</v>
      </c>
      <c r="AD53" s="488">
        <v>0</v>
      </c>
      <c r="AE53" s="489">
        <v>0</v>
      </c>
      <c r="AF53" s="488">
        <v>0</v>
      </c>
      <c r="AG53" s="489">
        <v>0</v>
      </c>
      <c r="AH53"/>
      <c r="AL53"/>
      <c r="AM53"/>
      <c r="AN53"/>
    </row>
    <row r="54" spans="1:40" ht="12.4" customHeight="1" x14ac:dyDescent="0.2">
      <c r="A54" s="161" t="s">
        <v>84</v>
      </c>
      <c r="B54" s="162"/>
      <c r="C54" s="99">
        <f t="shared" ref="C54:N54" si="18">C52*C53</f>
        <v>0</v>
      </c>
      <c r="D54" s="99">
        <f t="shared" si="18"/>
        <v>0</v>
      </c>
      <c r="E54" s="99">
        <f t="shared" si="18"/>
        <v>0</v>
      </c>
      <c r="F54" s="99">
        <f t="shared" si="18"/>
        <v>0</v>
      </c>
      <c r="G54" s="99">
        <f t="shared" si="18"/>
        <v>0</v>
      </c>
      <c r="H54" s="99">
        <f t="shared" si="18"/>
        <v>0</v>
      </c>
      <c r="I54" s="99">
        <f t="shared" si="18"/>
        <v>0</v>
      </c>
      <c r="J54" s="99">
        <f t="shared" si="18"/>
        <v>0</v>
      </c>
      <c r="K54" s="99">
        <f t="shared" si="18"/>
        <v>0</v>
      </c>
      <c r="L54" s="99">
        <f t="shared" si="18"/>
        <v>0</v>
      </c>
      <c r="M54" s="99">
        <f t="shared" si="18"/>
        <v>0</v>
      </c>
      <c r="N54" s="99">
        <f t="shared" si="18"/>
        <v>0</v>
      </c>
      <c r="O54" s="100">
        <f>SUM(C54:N54)</f>
        <v>0</v>
      </c>
      <c r="P54" s="99"/>
      <c r="Q54" s="99">
        <f t="shared" ref="Q54:AB54" si="19">Q52*Q53</f>
        <v>0</v>
      </c>
      <c r="R54" s="99">
        <f t="shared" si="19"/>
        <v>0</v>
      </c>
      <c r="S54" s="99">
        <f t="shared" si="19"/>
        <v>0</v>
      </c>
      <c r="T54" s="99">
        <f t="shared" si="19"/>
        <v>0</v>
      </c>
      <c r="U54" s="99">
        <f t="shared" si="19"/>
        <v>0</v>
      </c>
      <c r="V54" s="99">
        <f t="shared" si="19"/>
        <v>0</v>
      </c>
      <c r="W54" s="99">
        <f t="shared" si="19"/>
        <v>0</v>
      </c>
      <c r="X54" s="99">
        <f t="shared" si="19"/>
        <v>0</v>
      </c>
      <c r="Y54" s="99">
        <f t="shared" si="19"/>
        <v>0</v>
      </c>
      <c r="Z54" s="99">
        <f t="shared" si="19"/>
        <v>0</v>
      </c>
      <c r="AA54" s="99">
        <f t="shared" si="19"/>
        <v>0</v>
      </c>
      <c r="AB54" s="99">
        <f t="shared" si="19"/>
        <v>0</v>
      </c>
      <c r="AC54" s="100">
        <f>SUM(Q54:AB54)</f>
        <v>0</v>
      </c>
      <c r="AD54" s="163">
        <f>AD52*AD53</f>
        <v>0</v>
      </c>
      <c r="AE54" s="100">
        <f>AE52*AE53</f>
        <v>0</v>
      </c>
      <c r="AF54" s="99">
        <f>AF52*AF53</f>
        <v>0</v>
      </c>
      <c r="AG54" s="100">
        <f>AG52*AG53</f>
        <v>0</v>
      </c>
      <c r="AH54"/>
      <c r="AL54"/>
      <c r="AM54"/>
      <c r="AN54"/>
    </row>
    <row r="55" spans="1:40" ht="12.4" customHeight="1" x14ac:dyDescent="0.2">
      <c r="A55" s="47"/>
      <c r="B55" s="164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55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55"/>
      <c r="AD55" s="165"/>
      <c r="AE55" s="55"/>
      <c r="AF55" s="120"/>
      <c r="AG55" s="55"/>
      <c r="AH55"/>
      <c r="AL55"/>
      <c r="AM55"/>
      <c r="AN55"/>
    </row>
    <row r="56" spans="1:40" ht="16.149999999999999" customHeight="1" x14ac:dyDescent="0.2">
      <c r="A56" s="25" t="e">
        <f>PS_AdministrativeLabel&amp;" Personnel"</f>
        <v>#REF!</v>
      </c>
      <c r="B56" s="154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7"/>
      <c r="P56" s="168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7"/>
      <c r="AD56" s="169"/>
      <c r="AE56" s="167"/>
      <c r="AF56" s="170"/>
      <c r="AG56" s="167"/>
      <c r="AH56"/>
      <c r="AL56"/>
      <c r="AM56"/>
      <c r="AN56"/>
    </row>
    <row r="57" spans="1:40" ht="12.4" customHeight="1" x14ac:dyDescent="0.2">
      <c r="A57" s="182" t="s">
        <v>211</v>
      </c>
      <c r="B57" s="530"/>
      <c r="C57" s="542">
        <v>0</v>
      </c>
      <c r="D57" s="542">
        <v>0</v>
      </c>
      <c r="E57" s="542">
        <v>0</v>
      </c>
      <c r="F57" s="542">
        <v>0</v>
      </c>
      <c r="G57" s="542">
        <v>0</v>
      </c>
      <c r="H57" s="542">
        <v>0</v>
      </c>
      <c r="I57" s="542">
        <v>0</v>
      </c>
      <c r="J57" s="542">
        <v>0</v>
      </c>
      <c r="K57" s="542">
        <v>0</v>
      </c>
      <c r="L57" s="542">
        <v>0</v>
      </c>
      <c r="M57" s="542">
        <v>0</v>
      </c>
      <c r="N57" s="542">
        <v>0</v>
      </c>
      <c r="O57" s="183">
        <f>N57</f>
        <v>0</v>
      </c>
      <c r="P57" s="466"/>
      <c r="Q57" s="542">
        <v>0</v>
      </c>
      <c r="R57" s="542">
        <v>0</v>
      </c>
      <c r="S57" s="542">
        <v>0</v>
      </c>
      <c r="T57" s="542">
        <v>0</v>
      </c>
      <c r="U57" s="542">
        <v>0</v>
      </c>
      <c r="V57" s="542">
        <v>0</v>
      </c>
      <c r="W57" s="542">
        <v>0</v>
      </c>
      <c r="X57" s="542">
        <v>0</v>
      </c>
      <c r="Y57" s="542">
        <v>0</v>
      </c>
      <c r="Z57" s="542">
        <v>0</v>
      </c>
      <c r="AA57" s="542">
        <v>0</v>
      </c>
      <c r="AB57" s="542">
        <v>0</v>
      </c>
      <c r="AC57" s="183">
        <f>AB57</f>
        <v>0</v>
      </c>
      <c r="AD57" s="543">
        <v>0</v>
      </c>
      <c r="AE57" s="544">
        <v>0</v>
      </c>
      <c r="AF57" s="543">
        <v>0</v>
      </c>
      <c r="AG57" s="544">
        <v>0</v>
      </c>
      <c r="AH57"/>
      <c r="AL57"/>
      <c r="AM57"/>
      <c r="AN57"/>
    </row>
    <row r="58" spans="1:40" ht="12.4" customHeight="1" x14ac:dyDescent="0.2">
      <c r="A58" s="182" t="s">
        <v>217</v>
      </c>
      <c r="B58" s="531"/>
      <c r="C58" s="487">
        <v>0</v>
      </c>
      <c r="D58" s="487">
        <v>0</v>
      </c>
      <c r="E58" s="487">
        <v>0</v>
      </c>
      <c r="F58" s="487">
        <v>0</v>
      </c>
      <c r="G58" s="487">
        <v>0</v>
      </c>
      <c r="H58" s="487">
        <v>0</v>
      </c>
      <c r="I58" s="487">
        <v>0</v>
      </c>
      <c r="J58" s="487">
        <v>0</v>
      </c>
      <c r="K58" s="487">
        <v>0</v>
      </c>
      <c r="L58" s="487">
        <v>0</v>
      </c>
      <c r="M58" s="487">
        <v>0</v>
      </c>
      <c r="N58" s="487">
        <v>0</v>
      </c>
      <c r="O58" s="103">
        <f>IF(O57&lt;&gt;0,O59/O57,0)</f>
        <v>0</v>
      </c>
      <c r="P58" s="464"/>
      <c r="Q58" s="487">
        <v>0</v>
      </c>
      <c r="R58" s="487">
        <v>0</v>
      </c>
      <c r="S58" s="487">
        <v>0</v>
      </c>
      <c r="T58" s="487">
        <v>0</v>
      </c>
      <c r="U58" s="487">
        <v>0</v>
      </c>
      <c r="V58" s="487">
        <v>0</v>
      </c>
      <c r="W58" s="487">
        <v>0</v>
      </c>
      <c r="X58" s="487">
        <v>0</v>
      </c>
      <c r="Y58" s="487">
        <v>0</v>
      </c>
      <c r="Z58" s="487">
        <v>0</v>
      </c>
      <c r="AA58" s="487">
        <v>0</v>
      </c>
      <c r="AB58" s="487">
        <v>0</v>
      </c>
      <c r="AC58" s="103">
        <f>IF(AC57&lt;&gt;0,AC59/AC57,0)</f>
        <v>0</v>
      </c>
      <c r="AD58" s="488">
        <v>0</v>
      </c>
      <c r="AE58" s="489">
        <v>0</v>
      </c>
      <c r="AF58" s="488">
        <v>0</v>
      </c>
      <c r="AG58" s="489">
        <v>0</v>
      </c>
      <c r="AH58"/>
      <c r="AL58"/>
      <c r="AM58"/>
      <c r="AN58"/>
    </row>
    <row r="59" spans="1:40" ht="12.4" customHeight="1" x14ac:dyDescent="0.2">
      <c r="A59" s="161" t="s">
        <v>84</v>
      </c>
      <c r="B59" s="162"/>
      <c r="C59" s="99">
        <f t="shared" ref="C59:N59" si="20">C57*C58</f>
        <v>0</v>
      </c>
      <c r="D59" s="99">
        <f t="shared" si="20"/>
        <v>0</v>
      </c>
      <c r="E59" s="99">
        <f t="shared" si="20"/>
        <v>0</v>
      </c>
      <c r="F59" s="99">
        <f t="shared" si="20"/>
        <v>0</v>
      </c>
      <c r="G59" s="99">
        <f t="shared" si="20"/>
        <v>0</v>
      </c>
      <c r="H59" s="99">
        <f t="shared" si="20"/>
        <v>0</v>
      </c>
      <c r="I59" s="99">
        <f t="shared" si="20"/>
        <v>0</v>
      </c>
      <c r="J59" s="99">
        <f t="shared" si="20"/>
        <v>0</v>
      </c>
      <c r="K59" s="99">
        <f t="shared" si="20"/>
        <v>0</v>
      </c>
      <c r="L59" s="99">
        <f t="shared" si="20"/>
        <v>0</v>
      </c>
      <c r="M59" s="99">
        <f t="shared" si="20"/>
        <v>0</v>
      </c>
      <c r="N59" s="99">
        <f t="shared" si="20"/>
        <v>0</v>
      </c>
      <c r="O59" s="100">
        <f>SUM(C59:N59)</f>
        <v>0</v>
      </c>
      <c r="P59" s="99"/>
      <c r="Q59" s="99">
        <f t="shared" ref="Q59:AB59" si="21">Q57*Q58</f>
        <v>0</v>
      </c>
      <c r="R59" s="99">
        <f t="shared" si="21"/>
        <v>0</v>
      </c>
      <c r="S59" s="99">
        <f t="shared" si="21"/>
        <v>0</v>
      </c>
      <c r="T59" s="99">
        <f t="shared" si="21"/>
        <v>0</v>
      </c>
      <c r="U59" s="99">
        <f t="shared" si="21"/>
        <v>0</v>
      </c>
      <c r="V59" s="99">
        <f t="shared" si="21"/>
        <v>0</v>
      </c>
      <c r="W59" s="99">
        <f t="shared" si="21"/>
        <v>0</v>
      </c>
      <c r="X59" s="99">
        <f t="shared" si="21"/>
        <v>0</v>
      </c>
      <c r="Y59" s="99">
        <f t="shared" si="21"/>
        <v>0</v>
      </c>
      <c r="Z59" s="99">
        <f t="shared" si="21"/>
        <v>0</v>
      </c>
      <c r="AA59" s="99">
        <f t="shared" si="21"/>
        <v>0</v>
      </c>
      <c r="AB59" s="99">
        <f t="shared" si="21"/>
        <v>0</v>
      </c>
      <c r="AC59" s="100">
        <f>SUM(Q59:AB59)</f>
        <v>0</v>
      </c>
      <c r="AD59" s="163">
        <f>AD57*AD58</f>
        <v>0</v>
      </c>
      <c r="AE59" s="100">
        <f>AE57*AE58</f>
        <v>0</v>
      </c>
      <c r="AF59" s="99">
        <f>AF57*AF58</f>
        <v>0</v>
      </c>
      <c r="AG59" s="100">
        <f>AG57*AG58</f>
        <v>0</v>
      </c>
      <c r="AH59"/>
      <c r="AL59"/>
      <c r="AM59"/>
      <c r="AN59"/>
    </row>
    <row r="60" spans="1:40" ht="12.4" customHeight="1" x14ac:dyDescent="0.2">
      <c r="A60" s="47"/>
      <c r="B60" s="164"/>
      <c r="C60" s="120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55"/>
      <c r="P60" s="120"/>
      <c r="Q60" s="120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55"/>
      <c r="AD60" s="172"/>
      <c r="AE60" s="173"/>
      <c r="AF60" s="171"/>
      <c r="AG60" s="173"/>
      <c r="AH60"/>
      <c r="AL60"/>
      <c r="AM60"/>
      <c r="AN60"/>
    </row>
    <row r="61" spans="1:40" ht="16.149999999999999" customHeight="1" x14ac:dyDescent="0.2">
      <c r="A61" s="25" t="e">
        <f>PS_OtherLabel&amp;" Personnel"</f>
        <v>#REF!</v>
      </c>
      <c r="B61" s="154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7"/>
      <c r="P61" s="168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7"/>
      <c r="AD61" s="169"/>
      <c r="AE61" s="167"/>
      <c r="AF61" s="170"/>
      <c r="AG61" s="167"/>
      <c r="AH61"/>
      <c r="AL61"/>
      <c r="AM61"/>
      <c r="AN61"/>
    </row>
    <row r="62" spans="1:40" ht="12.4" customHeight="1" x14ac:dyDescent="0.2">
      <c r="A62" s="182" t="s">
        <v>211</v>
      </c>
      <c r="B62" s="530"/>
      <c r="C62" s="542">
        <v>0</v>
      </c>
      <c r="D62" s="542">
        <v>0</v>
      </c>
      <c r="E62" s="542">
        <v>0</v>
      </c>
      <c r="F62" s="542">
        <v>0</v>
      </c>
      <c r="G62" s="542">
        <v>0</v>
      </c>
      <c r="H62" s="542">
        <v>0</v>
      </c>
      <c r="I62" s="542">
        <v>0</v>
      </c>
      <c r="J62" s="542">
        <v>0</v>
      </c>
      <c r="K62" s="542">
        <v>0</v>
      </c>
      <c r="L62" s="542">
        <v>0</v>
      </c>
      <c r="M62" s="542">
        <v>0</v>
      </c>
      <c r="N62" s="542">
        <v>0</v>
      </c>
      <c r="O62" s="183">
        <f>N62</f>
        <v>0</v>
      </c>
      <c r="P62" s="466"/>
      <c r="Q62" s="542">
        <v>0</v>
      </c>
      <c r="R62" s="542">
        <v>0</v>
      </c>
      <c r="S62" s="542">
        <v>0</v>
      </c>
      <c r="T62" s="542">
        <v>0</v>
      </c>
      <c r="U62" s="542">
        <v>0</v>
      </c>
      <c r="V62" s="542">
        <v>0</v>
      </c>
      <c r="W62" s="542">
        <v>0</v>
      </c>
      <c r="X62" s="542">
        <v>0</v>
      </c>
      <c r="Y62" s="542">
        <v>0</v>
      </c>
      <c r="Z62" s="542">
        <v>0</v>
      </c>
      <c r="AA62" s="542">
        <v>0</v>
      </c>
      <c r="AB62" s="542">
        <v>0</v>
      </c>
      <c r="AC62" s="183">
        <f>AB62</f>
        <v>0</v>
      </c>
      <c r="AD62" s="543">
        <v>0</v>
      </c>
      <c r="AE62" s="544">
        <v>0</v>
      </c>
      <c r="AF62" s="543">
        <v>0</v>
      </c>
      <c r="AG62" s="544">
        <v>0</v>
      </c>
      <c r="AH62"/>
      <c r="AL62"/>
      <c r="AM62"/>
      <c r="AN62"/>
    </row>
    <row r="63" spans="1:40" ht="12.4" customHeight="1" x14ac:dyDescent="0.2">
      <c r="A63" s="182" t="s">
        <v>217</v>
      </c>
      <c r="B63" s="531"/>
      <c r="C63" s="487">
        <v>0</v>
      </c>
      <c r="D63" s="487">
        <v>0</v>
      </c>
      <c r="E63" s="487">
        <v>0</v>
      </c>
      <c r="F63" s="487">
        <v>0</v>
      </c>
      <c r="G63" s="487">
        <v>0</v>
      </c>
      <c r="H63" s="487">
        <v>0</v>
      </c>
      <c r="I63" s="487">
        <v>0</v>
      </c>
      <c r="J63" s="487">
        <v>0</v>
      </c>
      <c r="K63" s="487">
        <v>0</v>
      </c>
      <c r="L63" s="487">
        <v>0</v>
      </c>
      <c r="M63" s="487">
        <v>0</v>
      </c>
      <c r="N63" s="487">
        <v>0</v>
      </c>
      <c r="O63" s="103">
        <f>IF(O62&lt;&gt;0,O64/O62,0)</f>
        <v>0</v>
      </c>
      <c r="P63" s="464"/>
      <c r="Q63" s="487">
        <v>0</v>
      </c>
      <c r="R63" s="487">
        <v>0</v>
      </c>
      <c r="S63" s="487">
        <v>0</v>
      </c>
      <c r="T63" s="487">
        <v>0</v>
      </c>
      <c r="U63" s="487">
        <v>0</v>
      </c>
      <c r="V63" s="487">
        <v>0</v>
      </c>
      <c r="W63" s="487">
        <v>0</v>
      </c>
      <c r="X63" s="487">
        <v>0</v>
      </c>
      <c r="Y63" s="487">
        <v>0</v>
      </c>
      <c r="Z63" s="487">
        <v>0</v>
      </c>
      <c r="AA63" s="487">
        <v>0</v>
      </c>
      <c r="AB63" s="487">
        <v>0</v>
      </c>
      <c r="AC63" s="103">
        <f>IF(AC62&lt;&gt;0,AC64/AC62,0)</f>
        <v>0</v>
      </c>
      <c r="AD63" s="488">
        <v>0</v>
      </c>
      <c r="AE63" s="489">
        <v>0</v>
      </c>
      <c r="AF63" s="488">
        <v>0</v>
      </c>
      <c r="AG63" s="489">
        <v>0</v>
      </c>
      <c r="AH63"/>
      <c r="AL63"/>
      <c r="AM63"/>
      <c r="AN63"/>
    </row>
    <row r="64" spans="1:40" ht="12.4" customHeight="1" x14ac:dyDescent="0.2">
      <c r="A64" s="161" t="s">
        <v>84</v>
      </c>
      <c r="B64" s="162"/>
      <c r="C64" s="99">
        <f t="shared" ref="C64:N64" si="22">C62*C63</f>
        <v>0</v>
      </c>
      <c r="D64" s="99">
        <f t="shared" si="22"/>
        <v>0</v>
      </c>
      <c r="E64" s="99">
        <f t="shared" si="22"/>
        <v>0</v>
      </c>
      <c r="F64" s="99">
        <f t="shared" si="22"/>
        <v>0</v>
      </c>
      <c r="G64" s="99">
        <f t="shared" si="22"/>
        <v>0</v>
      </c>
      <c r="H64" s="99">
        <f t="shared" si="22"/>
        <v>0</v>
      </c>
      <c r="I64" s="99">
        <f t="shared" si="22"/>
        <v>0</v>
      </c>
      <c r="J64" s="99">
        <f t="shared" si="22"/>
        <v>0</v>
      </c>
      <c r="K64" s="99">
        <f t="shared" si="22"/>
        <v>0</v>
      </c>
      <c r="L64" s="99">
        <f t="shared" si="22"/>
        <v>0</v>
      </c>
      <c r="M64" s="99">
        <f t="shared" si="22"/>
        <v>0</v>
      </c>
      <c r="N64" s="99">
        <f t="shared" si="22"/>
        <v>0</v>
      </c>
      <c r="O64" s="100">
        <f>SUM(C64:N64)</f>
        <v>0</v>
      </c>
      <c r="P64" s="99"/>
      <c r="Q64" s="99">
        <f t="shared" ref="Q64:AB64" si="23">Q62*Q63</f>
        <v>0</v>
      </c>
      <c r="R64" s="99">
        <f t="shared" si="23"/>
        <v>0</v>
      </c>
      <c r="S64" s="99">
        <f t="shared" si="23"/>
        <v>0</v>
      </c>
      <c r="T64" s="99">
        <f t="shared" si="23"/>
        <v>0</v>
      </c>
      <c r="U64" s="99">
        <f t="shared" si="23"/>
        <v>0</v>
      </c>
      <c r="V64" s="99">
        <f t="shared" si="23"/>
        <v>0</v>
      </c>
      <c r="W64" s="99">
        <f t="shared" si="23"/>
        <v>0</v>
      </c>
      <c r="X64" s="99">
        <f t="shared" si="23"/>
        <v>0</v>
      </c>
      <c r="Y64" s="99">
        <f t="shared" si="23"/>
        <v>0</v>
      </c>
      <c r="Z64" s="99">
        <f t="shared" si="23"/>
        <v>0</v>
      </c>
      <c r="AA64" s="99">
        <f t="shared" si="23"/>
        <v>0</v>
      </c>
      <c r="AB64" s="99">
        <f t="shared" si="23"/>
        <v>0</v>
      </c>
      <c r="AC64" s="100">
        <f>SUM(Q64:AB64)</f>
        <v>0</v>
      </c>
      <c r="AD64" s="163">
        <f>AD62*AD63</f>
        <v>0</v>
      </c>
      <c r="AE64" s="100">
        <f>AE62*AE63</f>
        <v>0</v>
      </c>
      <c r="AF64" s="99">
        <f>AF62*AF63</f>
        <v>0</v>
      </c>
      <c r="AG64" s="100">
        <f>AG62*AG63</f>
        <v>0</v>
      </c>
      <c r="AH64"/>
      <c r="AL64"/>
      <c r="AM64"/>
      <c r="AN64"/>
    </row>
    <row r="65" spans="1:40" ht="12.4" customHeight="1" x14ac:dyDescent="0.2">
      <c r="A65" s="47"/>
      <c r="B65" s="164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55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55"/>
      <c r="AD65" s="165"/>
      <c r="AE65" s="55"/>
      <c r="AF65" s="120"/>
      <c r="AG65" s="55"/>
      <c r="AH65"/>
      <c r="AL65"/>
      <c r="AM65"/>
      <c r="AN65"/>
    </row>
    <row r="66" spans="1:40" ht="12.4" customHeight="1" x14ac:dyDescent="0.2">
      <c r="A66" s="33" t="s">
        <v>106</v>
      </c>
      <c r="B66" s="162"/>
      <c r="C66" s="184">
        <f t="shared" ref="C66:N66" si="24">C47+C52+C57+C62</f>
        <v>0</v>
      </c>
      <c r="D66" s="184">
        <f t="shared" si="24"/>
        <v>0</v>
      </c>
      <c r="E66" s="184">
        <f t="shared" si="24"/>
        <v>0</v>
      </c>
      <c r="F66" s="184">
        <f t="shared" si="24"/>
        <v>0</v>
      </c>
      <c r="G66" s="184">
        <f t="shared" si="24"/>
        <v>0</v>
      </c>
      <c r="H66" s="184">
        <f t="shared" si="24"/>
        <v>0</v>
      </c>
      <c r="I66" s="184">
        <f t="shared" si="24"/>
        <v>0</v>
      </c>
      <c r="J66" s="184">
        <f t="shared" si="24"/>
        <v>0</v>
      </c>
      <c r="K66" s="184">
        <f t="shared" si="24"/>
        <v>0</v>
      </c>
      <c r="L66" s="184">
        <f t="shared" si="24"/>
        <v>0</v>
      </c>
      <c r="M66" s="184">
        <f t="shared" si="24"/>
        <v>0</v>
      </c>
      <c r="N66" s="184">
        <f t="shared" si="24"/>
        <v>0</v>
      </c>
      <c r="O66" s="141">
        <f>N66</f>
        <v>0</v>
      </c>
      <c r="P66" s="185"/>
      <c r="Q66" s="184">
        <f t="shared" ref="Q66:AB66" si="25">Q47+Q52+Q57+Q62</f>
        <v>0</v>
      </c>
      <c r="R66" s="184">
        <f t="shared" si="25"/>
        <v>0</v>
      </c>
      <c r="S66" s="184">
        <f t="shared" si="25"/>
        <v>0</v>
      </c>
      <c r="T66" s="184">
        <f t="shared" si="25"/>
        <v>0</v>
      </c>
      <c r="U66" s="184">
        <f t="shared" si="25"/>
        <v>0</v>
      </c>
      <c r="V66" s="184">
        <f t="shared" si="25"/>
        <v>0</v>
      </c>
      <c r="W66" s="184">
        <f t="shared" si="25"/>
        <v>0</v>
      </c>
      <c r="X66" s="184">
        <f t="shared" si="25"/>
        <v>0</v>
      </c>
      <c r="Y66" s="184">
        <f t="shared" si="25"/>
        <v>0</v>
      </c>
      <c r="Z66" s="184">
        <f t="shared" si="25"/>
        <v>0</v>
      </c>
      <c r="AA66" s="184">
        <f t="shared" si="25"/>
        <v>0</v>
      </c>
      <c r="AB66" s="184">
        <f t="shared" si="25"/>
        <v>0</v>
      </c>
      <c r="AC66" s="141">
        <f>AB66</f>
        <v>0</v>
      </c>
      <c r="AD66" s="186">
        <f>AD47+AD52+AD57+AD62</f>
        <v>0</v>
      </c>
      <c r="AE66" s="187">
        <f>AE47+AE52+AE57+AE62</f>
        <v>0</v>
      </c>
      <c r="AF66" s="184">
        <f>AF47+AF52+AF57+AF62</f>
        <v>0</v>
      </c>
      <c r="AG66" s="187">
        <f>AG47+AG52+AG57+AG62</f>
        <v>0</v>
      </c>
      <c r="AH66"/>
      <c r="AL66"/>
      <c r="AM66"/>
      <c r="AN66"/>
    </row>
    <row r="67" spans="1:40" ht="12.4" customHeight="1" x14ac:dyDescent="0.2">
      <c r="A67" s="47"/>
      <c r="B67" s="188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91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91"/>
      <c r="AD67" s="192"/>
      <c r="AE67" s="193"/>
      <c r="AF67" s="189"/>
      <c r="AG67" s="193"/>
      <c r="AH67"/>
      <c r="AL67"/>
      <c r="AM67"/>
      <c r="AN67"/>
    </row>
    <row r="68" spans="1:40" ht="16.149999999999999" customHeight="1" x14ac:dyDescent="0.2">
      <c r="A68" s="48" t="s">
        <v>127</v>
      </c>
      <c r="B68" s="176"/>
      <c r="C68" s="177">
        <f t="shared" ref="C68:O68" si="26">Payroll4P+Payroll4GA+Payroll4SM+Payroll4OTH</f>
        <v>0</v>
      </c>
      <c r="D68" s="177">
        <f t="shared" si="26"/>
        <v>0</v>
      </c>
      <c r="E68" s="177">
        <f t="shared" si="26"/>
        <v>0</v>
      </c>
      <c r="F68" s="177">
        <f t="shared" si="26"/>
        <v>0</v>
      </c>
      <c r="G68" s="177">
        <f t="shared" si="26"/>
        <v>0</v>
      </c>
      <c r="H68" s="177">
        <f t="shared" si="26"/>
        <v>0</v>
      </c>
      <c r="I68" s="177">
        <f t="shared" si="26"/>
        <v>0</v>
      </c>
      <c r="J68" s="177">
        <f t="shared" si="26"/>
        <v>0</v>
      </c>
      <c r="K68" s="177">
        <f t="shared" si="26"/>
        <v>0</v>
      </c>
      <c r="L68" s="177">
        <f t="shared" si="26"/>
        <v>0</v>
      </c>
      <c r="M68" s="177">
        <f t="shared" si="26"/>
        <v>0</v>
      </c>
      <c r="N68" s="177">
        <f t="shared" si="26"/>
        <v>0</v>
      </c>
      <c r="O68" s="177">
        <f t="shared" si="26"/>
        <v>0</v>
      </c>
      <c r="P68" s="177"/>
      <c r="Q68" s="177">
        <f t="shared" ref="Q68:AG68" si="27">Payroll4P+Payroll4GA+Payroll4SM+Payroll4OTH</f>
        <v>0</v>
      </c>
      <c r="R68" s="177">
        <f t="shared" si="27"/>
        <v>0</v>
      </c>
      <c r="S68" s="177">
        <f t="shared" si="27"/>
        <v>0</v>
      </c>
      <c r="T68" s="177">
        <f t="shared" si="27"/>
        <v>0</v>
      </c>
      <c r="U68" s="177">
        <f t="shared" si="27"/>
        <v>0</v>
      </c>
      <c r="V68" s="177">
        <f t="shared" si="27"/>
        <v>0</v>
      </c>
      <c r="W68" s="177">
        <f t="shared" si="27"/>
        <v>0</v>
      </c>
      <c r="X68" s="177">
        <f t="shared" si="27"/>
        <v>0</v>
      </c>
      <c r="Y68" s="177">
        <f t="shared" si="27"/>
        <v>0</v>
      </c>
      <c r="Z68" s="177">
        <f t="shared" si="27"/>
        <v>0</v>
      </c>
      <c r="AA68" s="177">
        <f t="shared" si="27"/>
        <v>0</v>
      </c>
      <c r="AB68" s="177">
        <f t="shared" si="27"/>
        <v>0</v>
      </c>
      <c r="AC68" s="177">
        <f t="shared" si="27"/>
        <v>0</v>
      </c>
      <c r="AD68" s="179">
        <f t="shared" si="27"/>
        <v>0</v>
      </c>
      <c r="AE68" s="178">
        <f t="shared" si="27"/>
        <v>0</v>
      </c>
      <c r="AF68" s="177">
        <f t="shared" si="27"/>
        <v>0</v>
      </c>
      <c r="AG68" s="178">
        <f t="shared" si="27"/>
        <v>0</v>
      </c>
      <c r="AH68"/>
      <c r="AL68"/>
      <c r="AM68"/>
      <c r="AN68"/>
    </row>
    <row r="69" spans="1:40" ht="12.4" customHeight="1" x14ac:dyDescent="0.2">
      <c r="A69"/>
      <c r="B69"/>
      <c r="O69" s="49"/>
      <c r="P6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/>
      <c r="AC69" s="49"/>
      <c r="AF69" s="496"/>
      <c r="AH69"/>
      <c r="AL69"/>
      <c r="AM69"/>
      <c r="AN69"/>
    </row>
    <row r="70" spans="1:40" ht="12.4" customHeight="1" x14ac:dyDescent="0.2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40" ht="12.4" customHeight="1" x14ac:dyDescent="0.2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40" ht="12.4" customHeight="1" x14ac:dyDescent="0.2">
      <c r="A72"/>
      <c r="B72" s="194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40" ht="12.4" customHeight="1" x14ac:dyDescent="0.2">
      <c r="A73"/>
      <c r="B73" s="194"/>
      <c r="C73"/>
    </row>
    <row r="74" spans="1:40" ht="12.4" customHeight="1" x14ac:dyDescent="0.2">
      <c r="A74"/>
    </row>
    <row r="75" spans="1:40" ht="12.4" customHeight="1" x14ac:dyDescent="0.2">
      <c r="A75"/>
      <c r="C75"/>
    </row>
    <row r="76" spans="1:40" ht="12.4" customHeight="1" x14ac:dyDescent="0.2">
      <c r="A76"/>
      <c r="C76"/>
    </row>
    <row r="77" spans="1:40" ht="12.4" customHeight="1" x14ac:dyDescent="0.2">
      <c r="A77"/>
    </row>
    <row r="78" spans="1:40" ht="12.4" customHeight="1" x14ac:dyDescent="0.2">
      <c r="A78"/>
      <c r="B78" s="194"/>
      <c r="C78" s="22"/>
    </row>
    <row r="79" spans="1:40" ht="12.4" customHeight="1" x14ac:dyDescent="0.2">
      <c r="A79"/>
      <c r="C79" s="22"/>
    </row>
    <row r="80" spans="1:40" ht="12.4" customHeight="1" x14ac:dyDescent="0.2">
      <c r="A80"/>
    </row>
    <row r="81" spans="1:1" ht="12.4" customHeight="1" x14ac:dyDescent="0.2">
      <c r="A81"/>
    </row>
    <row r="82" spans="1:1" ht="12.4" customHeight="1" x14ac:dyDescent="0.2">
      <c r="A82"/>
    </row>
    <row r="83" spans="1:1" ht="12.4" customHeight="1" x14ac:dyDescent="0.2">
      <c r="A83"/>
    </row>
    <row r="84" spans="1:1" ht="12.4" customHeight="1" x14ac:dyDescent="0.2">
      <c r="A84"/>
    </row>
    <row r="85" spans="1:1" ht="12.4" customHeight="1" x14ac:dyDescent="0.2">
      <c r="A85"/>
    </row>
  </sheetData>
  <pageMargins left="0.75" right="0.75" top="1" bottom="1" header="0.5" footer="0.5"/>
  <pageSetup scale="13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I47"/>
  <sheetViews>
    <sheetView workbookViewId="0">
      <selection activeCell="J11" sqref="J11"/>
    </sheetView>
  </sheetViews>
  <sheetFormatPr defaultRowHeight="12.75" x14ac:dyDescent="0.2"/>
  <cols>
    <col min="1" max="1" width="9" style="1040"/>
    <col min="2" max="2" width="15.875" style="1040" bestFit="1" customWidth="1"/>
    <col min="3" max="5" width="11.875" style="1040" bestFit="1" customWidth="1"/>
    <col min="6" max="8" width="13" style="1040" bestFit="1" customWidth="1"/>
    <col min="9" max="16384" width="9" style="1040"/>
  </cols>
  <sheetData>
    <row r="43" spans="2:9" x14ac:dyDescent="0.2">
      <c r="B43" s="1043"/>
      <c r="C43" s="1043">
        <f>'P&amp;L'!AG2</f>
        <v>2014</v>
      </c>
      <c r="D43" s="1043">
        <f>'P&amp;L'!AH2</f>
        <v>2015</v>
      </c>
      <c r="E43" s="1043">
        <f>'P&amp;L'!AI2</f>
        <v>2016</v>
      </c>
      <c r="F43" s="1043">
        <f>'P&amp;L'!AJ2</f>
        <v>2017</v>
      </c>
      <c r="G43" s="1043">
        <f>'P&amp;L'!AK2</f>
        <v>2018</v>
      </c>
      <c r="H43" s="1043">
        <f>'P&amp;L'!AL2</f>
        <v>2019</v>
      </c>
    </row>
    <row r="44" spans="2:9" x14ac:dyDescent="0.2">
      <c r="B44" s="1040" t="s">
        <v>525</v>
      </c>
      <c r="C44" s="1042">
        <f t="shared" ref="C44:H45" si="0">C46/1000000</f>
        <v>10.6040625</v>
      </c>
      <c r="D44" s="1042">
        <f t="shared" si="0"/>
        <v>32.333381249999995</v>
      </c>
      <c r="E44" s="1042">
        <f t="shared" si="0"/>
        <v>61.733910434999991</v>
      </c>
      <c r="F44" s="1042">
        <f t="shared" si="0"/>
        <v>104.58076118707497</v>
      </c>
      <c r="G44" s="1042">
        <f t="shared" si="0"/>
        <v>160.72542005386654</v>
      </c>
      <c r="H44" s="1042">
        <f t="shared" si="0"/>
        <v>210.65814465336479</v>
      </c>
    </row>
    <row r="45" spans="2:9" x14ac:dyDescent="0.2">
      <c r="B45" s="1040" t="s">
        <v>526</v>
      </c>
      <c r="C45" s="1042">
        <f t="shared" si="0"/>
        <v>5.7272544999999999</v>
      </c>
      <c r="D45" s="1042">
        <f t="shared" si="0"/>
        <v>19.331181687499996</v>
      </c>
      <c r="E45" s="1042">
        <f t="shared" si="0"/>
        <v>38.882143297249996</v>
      </c>
      <c r="F45" s="1042">
        <f t="shared" si="0"/>
        <v>67.536417457001207</v>
      </c>
      <c r="G45" s="1042">
        <f t="shared" si="0"/>
        <v>105.34011989618382</v>
      </c>
      <c r="H45" s="1042">
        <f t="shared" si="0"/>
        <v>138.85078951651801</v>
      </c>
    </row>
    <row r="46" spans="2:9" x14ac:dyDescent="0.2">
      <c r="B46" s="1040" t="s">
        <v>273</v>
      </c>
      <c r="C46" s="1041">
        <f>'P&amp;L'!AG3</f>
        <v>10604062.5</v>
      </c>
      <c r="D46" s="1041">
        <f>'P&amp;L'!AH3</f>
        <v>32333381.249999996</v>
      </c>
      <c r="E46" s="1041">
        <f>'P&amp;L'!AI3</f>
        <v>61733910.434999995</v>
      </c>
      <c r="F46" s="1041">
        <f>'P&amp;L'!AJ3</f>
        <v>104580761.18707497</v>
      </c>
      <c r="G46" s="1041">
        <f>'P&amp;L'!AK3</f>
        <v>160725420.05386654</v>
      </c>
      <c r="H46" s="1041">
        <f>'P&amp;L'!AL3</f>
        <v>210658144.65336478</v>
      </c>
      <c r="I46" s="1041"/>
    </row>
    <row r="47" spans="2:9" x14ac:dyDescent="0.2">
      <c r="B47" s="1040" t="s">
        <v>209</v>
      </c>
      <c r="C47" s="1041">
        <f>'P&amp;L'!AG39</f>
        <v>5727254.5</v>
      </c>
      <c r="D47" s="1041">
        <f>'P&amp;L'!AH39</f>
        <v>19331181.687499996</v>
      </c>
      <c r="E47" s="1041">
        <f>'P&amp;L'!AI39</f>
        <v>38882143.297249995</v>
      </c>
      <c r="F47" s="1041">
        <f>'P&amp;L'!AJ39</f>
        <v>67536417.457001209</v>
      </c>
      <c r="G47" s="1041">
        <f>'P&amp;L'!AK39</f>
        <v>105340119.89618382</v>
      </c>
      <c r="H47" s="1041">
        <f>'P&amp;L'!AL39</f>
        <v>138850789.516518</v>
      </c>
    </row>
  </sheetData>
  <pageMargins left="0.7" right="0.7" top="0.75" bottom="0.75" header="0.3" footer="0.3"/>
  <pageSetup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124"/>
  <sheetViews>
    <sheetView showGridLines="0" zoomScale="85" zoomScaleNormal="85" workbookViewId="0">
      <pane xSplit="1" ySplit="2" topLeftCell="AG3" activePane="bottomRight" state="frozenSplit"/>
      <selection pane="topRight"/>
      <selection pane="bottomLeft"/>
      <selection pane="bottomRight" activeCell="AK3" sqref="AK3"/>
    </sheetView>
  </sheetViews>
  <sheetFormatPr defaultColWidth="0" defaultRowHeight="12.4" customHeight="1" outlineLevelCol="1" x14ac:dyDescent="0.2"/>
  <cols>
    <col min="1" max="1" width="31.875" style="1" customWidth="1"/>
    <col min="2" max="2" width="13.625" style="1" customWidth="1"/>
    <col min="3" max="6" width="13.625" style="1" customWidth="1" outlineLevel="1"/>
    <col min="7" max="7" width="13.625" style="268" customWidth="1"/>
    <col min="8" max="19" width="13.625" style="1" customWidth="1" outlineLevel="1"/>
    <col min="20" max="20" width="13.625" style="1" customWidth="1"/>
    <col min="21" max="32" width="13.625" style="1" customWidth="1" outlineLevel="1"/>
    <col min="33" max="34" width="13.625" style="1" customWidth="1"/>
    <col min="35" max="36" width="14.625" style="1" bestFit="1" customWidth="1"/>
    <col min="37" max="41" width="14.625" style="1" customWidth="1" outlineLevel="1"/>
    <col min="42" max="42" width="7.25" style="1" customWidth="1"/>
    <col min="43" max="43" width="36.375" style="1" hidden="1" customWidth="1"/>
    <col min="44" max="95" width="9.125" style="1" hidden="1" customWidth="1"/>
    <col min="96" max="113" width="13.625" style="1" hidden="1" customWidth="1"/>
    <col min="114" max="114" width="36.5" style="1" hidden="1" customWidth="1"/>
    <col min="115" max="132" width="13.625" style="1" hidden="1" customWidth="1"/>
    <col min="133" max="133" width="29" style="1" hidden="1" customWidth="1"/>
    <col min="134" max="16384" width="9" style="1" hidden="1"/>
  </cols>
  <sheetData>
    <row r="1" spans="1:133" s="75" customFormat="1" ht="16.149999999999999" customHeight="1" x14ac:dyDescent="0.2">
      <c r="A1" s="2" t="s">
        <v>317</v>
      </c>
      <c r="B1" s="77"/>
      <c r="C1" s="77"/>
      <c r="D1" s="77"/>
      <c r="E1" s="77"/>
      <c r="F1" s="77"/>
      <c r="G1" s="117"/>
      <c r="H1" s="77"/>
      <c r="I1" s="77"/>
      <c r="J1" s="77"/>
      <c r="K1" s="77"/>
      <c r="L1" s="77"/>
      <c r="M1" s="77"/>
      <c r="N1" s="77"/>
      <c r="O1" s="195"/>
      <c r="P1" s="195"/>
      <c r="Q1" s="195"/>
      <c r="R1" s="195"/>
      <c r="S1" s="195"/>
      <c r="T1" s="79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79"/>
      <c r="AH1" s="1017"/>
      <c r="AI1" s="1017"/>
      <c r="AJ1" s="1017"/>
      <c r="AK1" s="1017"/>
      <c r="AL1" s="1017"/>
      <c r="AM1" s="1017"/>
      <c r="AN1" s="1017"/>
      <c r="AO1" s="1017"/>
      <c r="AP1"/>
      <c r="AQ1"/>
      <c r="CR1" s="77"/>
      <c r="CS1" s="77"/>
      <c r="CT1" s="77"/>
      <c r="CU1" s="77"/>
      <c r="CV1" s="77"/>
      <c r="CW1" s="77"/>
      <c r="CX1" s="77"/>
      <c r="CY1" s="77"/>
      <c r="CZ1" s="195"/>
      <c r="DA1" s="195"/>
      <c r="DB1" s="195"/>
      <c r="DC1" s="195"/>
      <c r="DD1" s="195"/>
      <c r="DE1" s="79"/>
      <c r="DF1" s="195"/>
      <c r="DG1" s="196"/>
      <c r="DH1" s="195"/>
      <c r="DI1" s="196"/>
      <c r="DJ1"/>
      <c r="DK1" s="197"/>
      <c r="DL1" s="197"/>
      <c r="DM1" s="197"/>
      <c r="DN1" s="197"/>
      <c r="DO1" s="197"/>
      <c r="DP1" s="197"/>
      <c r="DQ1" s="197"/>
      <c r="DR1" s="197"/>
      <c r="DS1" s="198"/>
      <c r="DT1" s="198"/>
      <c r="DU1" s="198"/>
      <c r="DV1" s="198"/>
      <c r="DW1" s="198"/>
      <c r="DX1" s="199"/>
      <c r="DY1" s="198"/>
      <c r="DZ1" s="200"/>
      <c r="EA1" s="198"/>
      <c r="EB1" s="200"/>
      <c r="EC1"/>
    </row>
    <row r="2" spans="1:133" ht="13.15" customHeight="1" thickBot="1" x14ac:dyDescent="0.25">
      <c r="A2" s="82"/>
      <c r="B2" s="9"/>
      <c r="C2" s="703">
        <f>'Sales and COGS Forecasts'!C2</f>
        <v>41153</v>
      </c>
      <c r="D2" s="703">
        <f>'Sales and COGS Forecasts'!D2</f>
        <v>41183</v>
      </c>
      <c r="E2" s="703">
        <f>'Sales and COGS Forecasts'!E2</f>
        <v>41214</v>
      </c>
      <c r="F2" s="703">
        <f>'Sales and COGS Forecasts'!F2</f>
        <v>41244</v>
      </c>
      <c r="G2" s="970">
        <f>'Sales and COGS Forecasts'!G2</f>
        <v>2012</v>
      </c>
      <c r="H2" s="703">
        <f>'Sales and COGS Forecasts'!H2</f>
        <v>41275</v>
      </c>
      <c r="I2" s="703">
        <f>'Sales and COGS Forecasts'!I2</f>
        <v>41306</v>
      </c>
      <c r="J2" s="703">
        <f>'Sales and COGS Forecasts'!J2</f>
        <v>41334</v>
      </c>
      <c r="K2" s="703">
        <f>'Sales and COGS Forecasts'!K2</f>
        <v>41365</v>
      </c>
      <c r="L2" s="703">
        <f>'Sales and COGS Forecasts'!L2</f>
        <v>41395</v>
      </c>
      <c r="M2" s="703">
        <f>'Sales and COGS Forecasts'!M2</f>
        <v>41426</v>
      </c>
      <c r="N2" s="703">
        <f>'Sales and COGS Forecasts'!N2</f>
        <v>41456</v>
      </c>
      <c r="O2" s="703">
        <f>'Sales and COGS Forecasts'!O2</f>
        <v>41487</v>
      </c>
      <c r="P2" s="703">
        <f>'Sales and COGS Forecasts'!P2</f>
        <v>41518</v>
      </c>
      <c r="Q2" s="703">
        <f>'Sales and COGS Forecasts'!Q2</f>
        <v>41548</v>
      </c>
      <c r="R2" s="703">
        <f>'Sales and COGS Forecasts'!R2</f>
        <v>41579</v>
      </c>
      <c r="S2" s="703">
        <f>'Sales and COGS Forecasts'!S2</f>
        <v>41609</v>
      </c>
      <c r="T2" s="926">
        <f>'Sales and COGS Forecasts'!T2</f>
        <v>2013</v>
      </c>
      <c r="U2" s="703">
        <f>'Sales and COGS Forecasts'!U2</f>
        <v>41640</v>
      </c>
      <c r="V2" s="703">
        <f>'Sales and COGS Forecasts'!V2</f>
        <v>41671</v>
      </c>
      <c r="W2" s="703">
        <f>'Sales and COGS Forecasts'!W2</f>
        <v>41699</v>
      </c>
      <c r="X2" s="703">
        <f>'Sales and COGS Forecasts'!X2</f>
        <v>41730</v>
      </c>
      <c r="Y2" s="703">
        <f>'Sales and COGS Forecasts'!Y2</f>
        <v>41760</v>
      </c>
      <c r="Z2" s="703">
        <f>'Sales and COGS Forecasts'!Z2</f>
        <v>41791</v>
      </c>
      <c r="AA2" s="703">
        <f>'Sales and COGS Forecasts'!AA2</f>
        <v>41821</v>
      </c>
      <c r="AB2" s="703">
        <f>'Sales and COGS Forecasts'!AB2</f>
        <v>41852</v>
      </c>
      <c r="AC2" s="703">
        <f>'Sales and COGS Forecasts'!AC2</f>
        <v>41883</v>
      </c>
      <c r="AD2" s="703">
        <f>'Sales and COGS Forecasts'!AD2</f>
        <v>41913</v>
      </c>
      <c r="AE2" s="703">
        <f>'Sales and COGS Forecasts'!AE2</f>
        <v>41944</v>
      </c>
      <c r="AF2" s="703">
        <f>'Sales and COGS Forecasts'!AF2</f>
        <v>41974</v>
      </c>
      <c r="AG2" s="926">
        <f>'Sales and COGS Forecasts'!AG2</f>
        <v>2014</v>
      </c>
      <c r="AH2" s="1018">
        <f>'Sales and COGS Forecasts'!AH2</f>
        <v>2015</v>
      </c>
      <c r="AI2" s="1018">
        <f>'Sales and COGS Forecasts'!AI2</f>
        <v>2016</v>
      </c>
      <c r="AJ2" s="1018">
        <f>'Sales and COGS Forecasts'!AJ2</f>
        <v>2017</v>
      </c>
      <c r="AK2" s="1018">
        <f>'Sales and COGS Forecasts'!AK2</f>
        <v>2018</v>
      </c>
      <c r="AL2" s="1018">
        <f>'Sales and COGS Forecasts'!AL2</f>
        <v>2019</v>
      </c>
      <c r="AM2" s="1018">
        <f>'Sales and COGS Forecasts'!AM2</f>
        <v>2020</v>
      </c>
      <c r="AN2" s="1018">
        <f>'Sales and COGS Forecasts'!AN2</f>
        <v>2021</v>
      </c>
      <c r="AO2" s="1018">
        <f>'Sales and COGS Forecasts'!AO2</f>
        <v>2022</v>
      </c>
      <c r="AP2"/>
      <c r="AQ2"/>
      <c r="CR2" s="9"/>
      <c r="CS2" s="10" t="e">
        <f>IF(PS_DateSetting=1," Month 1",DATE(PS_StartingYear,PS_StartingMonth,15))</f>
        <v>#REF!</v>
      </c>
      <c r="CT2" s="10" t="e">
        <f>IF(PS_DateSetting=1," Month 2",CS2+30.4)</f>
        <v>#REF!</v>
      </c>
      <c r="CU2" s="10" t="e">
        <f>IF(PS_DateSetting=1," Month 3",CT2+30.4)</f>
        <v>#REF!</v>
      </c>
      <c r="CV2" s="10" t="e">
        <f>IF(PS_DateSetting=1," Month 4",CU2+30.4)</f>
        <v>#REF!</v>
      </c>
      <c r="CW2" s="10" t="e">
        <f>IF(PS_DateSetting=1," Month 5",CV2+30.4)</f>
        <v>#REF!</v>
      </c>
      <c r="CX2" s="10" t="e">
        <f>IF(PS_DateSetting=1," Month 6",CW2+30.4)</f>
        <v>#REF!</v>
      </c>
      <c r="CY2" s="10" t="e">
        <f>IF(PS_DateSetting=1," Month 7",CX2+30.4)</f>
        <v>#REF!</v>
      </c>
      <c r="CZ2" s="10" t="e">
        <f>IF(PS_DateSetting=1," Month 8",CY2+30.4)</f>
        <v>#REF!</v>
      </c>
      <c r="DA2" s="10" t="e">
        <f>IF(PS_DateSetting=1," Month 9",CZ2+30.4)</f>
        <v>#REF!</v>
      </c>
      <c r="DB2" s="10" t="e">
        <f>IF(PS_DateSetting=1," Month 10",DA2+30.4)</f>
        <v>#REF!</v>
      </c>
      <c r="DC2" s="10" t="e">
        <f>IF(PS_DateSetting=1," Month 11",DB2+30.4)</f>
        <v>#REF!</v>
      </c>
      <c r="DD2" s="10" t="e">
        <f>IF(PS_DateSetting=1," Month 12",DC2+30.4)</f>
        <v>#REF!</v>
      </c>
      <c r="DE2" s="11" t="e">
        <f>IF(PS_DateSetting=1," Year 1",IF(PS_StartingMonth&gt;1,"FY "&amp;PS_StartingYear+1,PS_StartingYear))</f>
        <v>#REF!</v>
      </c>
      <c r="DF2" s="137" t="e">
        <f>IF(PS_DateSetting=1," Year 2",IF(PS_StartingMonth&gt;1,"FY "&amp;PS_StartingYear+2,PS_StartingYear+1))</f>
        <v>#REF!</v>
      </c>
      <c r="DG2" s="11" t="e">
        <f>IF(PS_DateSetting=1," Year 3",IF(PS_StartingMonth&gt;1,"FY "&amp;PS_StartingYear+3,PS_StartingYear+2))</f>
        <v>#REF!</v>
      </c>
      <c r="DH2" s="13" t="e">
        <f>IF(PS_DateSetting=1," Year 4",IF(PS_StartingMonth&gt;1,"FY "&amp;PS_StartingYear+4,PS_StartingYear+3))</f>
        <v>#REF!</v>
      </c>
      <c r="DI2" s="11" t="e">
        <f>IF(PS_DateSetting=1," Year 5",IF(PS_StartingMonth&gt;1,"FY "&amp;PS_StartingYear+5,PS_StartingYear+4))</f>
        <v>#REF!</v>
      </c>
      <c r="DJ2"/>
      <c r="DK2" s="24"/>
      <c r="DL2" s="201" t="e">
        <f>IF(PS_DateSetting=1," Month 1",DATE(PS_StartingYear,PS_StartingMonth,15))</f>
        <v>#REF!</v>
      </c>
      <c r="DM2" s="201" t="e">
        <f>IF(PS_DateSetting=1," Month 2",DL2+30.4)</f>
        <v>#REF!</v>
      </c>
      <c r="DN2" s="201" t="e">
        <f>IF(PS_DateSetting=1," Month 3",DM2+30.4)</f>
        <v>#REF!</v>
      </c>
      <c r="DO2" s="201" t="e">
        <f>IF(PS_DateSetting=1," Month 4",DN2+30.4)</f>
        <v>#REF!</v>
      </c>
      <c r="DP2" s="201" t="e">
        <f>IF(PS_DateSetting=1," Month 5",DO2+30.4)</f>
        <v>#REF!</v>
      </c>
      <c r="DQ2" s="201" t="e">
        <f>IF(PS_DateSetting=1," Month 6",DP2+30.4)</f>
        <v>#REF!</v>
      </c>
      <c r="DR2" s="201" t="e">
        <f>IF(PS_DateSetting=1," Month 7",DQ2+30.4)</f>
        <v>#REF!</v>
      </c>
      <c r="DS2" s="201" t="e">
        <f>IF(PS_DateSetting=1," Month 8",DR2+30.4)</f>
        <v>#REF!</v>
      </c>
      <c r="DT2" s="201" t="e">
        <f>IF(PS_DateSetting=1," Month 9",DS2+30.4)</f>
        <v>#REF!</v>
      </c>
      <c r="DU2" s="201" t="e">
        <f>IF(PS_DateSetting=1," Month 10",DT2+30.4)</f>
        <v>#REF!</v>
      </c>
      <c r="DV2" s="201" t="e">
        <f>IF(PS_DateSetting=1," Month 11",DU2+30.4)</f>
        <v>#REF!</v>
      </c>
      <c r="DW2" s="201" t="e">
        <f>IF(PS_DateSetting=1," Month 12",DV2+30.4)</f>
        <v>#REF!</v>
      </c>
      <c r="DX2" s="202" t="e">
        <f>IF(PS_DateSetting=1," Year 1",IF(PS_StartingMonth&gt;1,"FY "&amp;PS_StartingYear+1,PS_StartingYear))</f>
        <v>#REF!</v>
      </c>
      <c r="DY2" s="203" t="e">
        <f>IF(PS_DateSetting=1," Year 2",IF(PS_StartingMonth&gt;1,"FY "&amp;PS_StartingYear+2,PS_StartingYear+1))</f>
        <v>#REF!</v>
      </c>
      <c r="DZ2" s="202" t="e">
        <f>IF(PS_DateSetting=1," Year 3",IF(PS_StartingMonth&gt;1,"FY "&amp;PS_StartingYear+3,PS_StartingYear+2))</f>
        <v>#REF!</v>
      </c>
      <c r="EA2" s="204" t="e">
        <f>IF(PS_DateSetting=1," Year 4",IF(PS_StartingMonth&gt;1,"FY "&amp;PS_StartingYear+4,PS_StartingYear+3))</f>
        <v>#REF!</v>
      </c>
      <c r="EB2" s="202" t="e">
        <f>IF(PS_DateSetting=1," Year 5",IF(PS_StartingMonth&gt;1,"FY "&amp;PS_StartingYear+5,PS_StartingYear+4))</f>
        <v>#REF!</v>
      </c>
      <c r="EC2"/>
    </row>
    <row r="3" spans="1:133" ht="16.899999999999999" customHeight="1" thickBot="1" x14ac:dyDescent="0.25">
      <c r="A3" s="25" t="s">
        <v>273</v>
      </c>
      <c r="B3" s="752"/>
      <c r="C3" s="752">
        <f>'Sales and COGS Forecasts'!C452</f>
        <v>0</v>
      </c>
      <c r="D3" s="752">
        <f>'Sales and COGS Forecasts'!D452</f>
        <v>0</v>
      </c>
      <c r="E3" s="752">
        <f>'Sales and COGS Forecasts'!E452</f>
        <v>0</v>
      </c>
      <c r="F3" s="752">
        <f>'Sales and COGS Forecasts'!F452</f>
        <v>0</v>
      </c>
      <c r="G3" s="753">
        <f>SUM(C3:F3)</f>
        <v>0</v>
      </c>
      <c r="H3" s="752">
        <f>'Sales and COGS Forecasts'!H452</f>
        <v>0</v>
      </c>
      <c r="I3" s="752">
        <f>'Sales and COGS Forecasts'!I452</f>
        <v>0</v>
      </c>
      <c r="J3" s="752">
        <f>'Sales and COGS Forecasts'!J452</f>
        <v>0</v>
      </c>
      <c r="K3" s="752">
        <f>'Sales and COGS Forecasts'!K452</f>
        <v>0</v>
      </c>
      <c r="L3" s="752">
        <f>'Sales and COGS Forecasts'!L452</f>
        <v>0</v>
      </c>
      <c r="M3" s="752">
        <f>'Sales and COGS Forecasts'!M452</f>
        <v>0</v>
      </c>
      <c r="N3" s="752">
        <f>'Sales and COGS Forecasts'!N452</f>
        <v>0</v>
      </c>
      <c r="O3" s="752">
        <f>'Sales and COGS Forecasts'!O452</f>
        <v>0</v>
      </c>
      <c r="P3" s="752">
        <f>'Sales and COGS Forecasts'!P452</f>
        <v>0</v>
      </c>
      <c r="Q3" s="752">
        <f>'Sales and COGS Forecasts'!Q452</f>
        <v>0</v>
      </c>
      <c r="R3" s="752">
        <f>'Sales and COGS Forecasts'!R452</f>
        <v>0</v>
      </c>
      <c r="S3" s="752">
        <f>'Sales and COGS Forecasts'!S452</f>
        <v>0</v>
      </c>
      <c r="T3" s="753">
        <f>SUM(H3:S3)</f>
        <v>0</v>
      </c>
      <c r="U3" s="752">
        <f>'Sales and COGS Forecasts'!U452</f>
        <v>0</v>
      </c>
      <c r="V3" s="752">
        <f>'Sales and COGS Forecasts'!V452</f>
        <v>0</v>
      </c>
      <c r="W3" s="752">
        <f>'Sales and COGS Forecasts'!W452</f>
        <v>578437.50000000012</v>
      </c>
      <c r="X3" s="752">
        <f>'Sales and COGS Forecasts'!X452</f>
        <v>706875</v>
      </c>
      <c r="Y3" s="752">
        <f>'Sales and COGS Forecasts'!Y452</f>
        <v>820312.5</v>
      </c>
      <c r="Z3" s="752">
        <f>'Sales and COGS Forecasts'!Z452</f>
        <v>918750</v>
      </c>
      <c r="AA3" s="752">
        <f>'Sales and COGS Forecasts'!AA452</f>
        <v>1017187.5</v>
      </c>
      <c r="AB3" s="752">
        <f>'Sales and COGS Forecasts'!AB452</f>
        <v>1115625</v>
      </c>
      <c r="AC3" s="752">
        <f>'Sales and COGS Forecasts'!AC452</f>
        <v>1214062.5</v>
      </c>
      <c r="AD3" s="752">
        <f>'Sales and COGS Forecasts'!AD452</f>
        <v>1312500</v>
      </c>
      <c r="AE3" s="752">
        <f>'Sales and COGS Forecasts'!AE452</f>
        <v>1410937.5</v>
      </c>
      <c r="AF3" s="752">
        <f>'Sales and COGS Forecasts'!AF452</f>
        <v>1509375</v>
      </c>
      <c r="AG3" s="753">
        <f>SUM(U3:AF3)</f>
        <v>10604062.5</v>
      </c>
      <c r="AH3" s="1019">
        <f>'Sales and COGS Forecasts'!AH452</f>
        <v>32333381.249999996</v>
      </c>
      <c r="AI3" s="1019">
        <f>'Sales and COGS Forecasts'!AI452</f>
        <v>61733910.434999995</v>
      </c>
      <c r="AJ3" s="1019">
        <f>'Sales and COGS Forecasts'!AJ452</f>
        <v>104580761.18707497</v>
      </c>
      <c r="AK3" s="1019">
        <f>'Sales and COGS Forecasts'!AK452</f>
        <v>160725420.05386654</v>
      </c>
      <c r="AL3" s="1019">
        <f>'Sales and COGS Forecasts'!AL452</f>
        <v>210658144.65336478</v>
      </c>
      <c r="AM3" s="1019">
        <f>'Sales and COGS Forecasts'!AM452</f>
        <v>247591562.33242396</v>
      </c>
      <c r="AN3" s="1019">
        <f>'Sales and COGS Forecasts'!AN452</f>
        <v>282525091.72696775</v>
      </c>
      <c r="AO3" s="1019">
        <f>'Sales and COGS Forecasts'!AO452</f>
        <v>317267219.53468227</v>
      </c>
      <c r="AP3"/>
      <c r="AQ3"/>
      <c r="CR3" s="205"/>
      <c r="CS3" s="205" t="e">
        <f t="shared" ref="CS3:DD3" si="0">IF(PS_SalesByUnits=FALSE,salesvalues_actual,salesunits_actual)</f>
        <v>#REF!</v>
      </c>
      <c r="CT3" s="205" t="e">
        <f t="shared" si="0"/>
        <v>#REF!</v>
      </c>
      <c r="CU3" s="205" t="e">
        <f t="shared" si="0"/>
        <v>#REF!</v>
      </c>
      <c r="CV3" s="205" t="e">
        <f t="shared" si="0"/>
        <v>#REF!</v>
      </c>
      <c r="CW3" s="205" t="e">
        <f t="shared" si="0"/>
        <v>#REF!</v>
      </c>
      <c r="CX3" s="205" t="e">
        <f t="shared" si="0"/>
        <v>#REF!</v>
      </c>
      <c r="CY3" s="205" t="e">
        <f t="shared" si="0"/>
        <v>#REF!</v>
      </c>
      <c r="CZ3" s="205" t="e">
        <f t="shared" si="0"/>
        <v>#REF!</v>
      </c>
      <c r="DA3" s="205" t="e">
        <f t="shared" si="0"/>
        <v>#REF!</v>
      </c>
      <c r="DB3" s="205" t="e">
        <f t="shared" si="0"/>
        <v>#REF!</v>
      </c>
      <c r="DC3" s="205" t="e">
        <f t="shared" si="0"/>
        <v>#REF!</v>
      </c>
      <c r="DD3" s="205" t="e">
        <f t="shared" si="0"/>
        <v>#REF!</v>
      </c>
      <c r="DE3" s="206" t="e">
        <f>SUM(CS3:DD3)</f>
        <v>#REF!</v>
      </c>
      <c r="DF3" s="205" t="e">
        <f>IF(PS_SalesByUnits=FALSE,salesvalues_actual,salesunits_actual)</f>
        <v>#REF!</v>
      </c>
      <c r="DG3" s="206" t="e">
        <f>IF(PS_SalesByUnits=FALSE,salesvalues_actual,salesunits_actual)</f>
        <v>#REF!</v>
      </c>
      <c r="DH3" s="207" t="e">
        <f>IF(PS_SalesByUnits=FALSE,salesvalues_actual,salesunits_actual)</f>
        <v>#REF!</v>
      </c>
      <c r="DI3" s="206" t="e">
        <f>IF(PS_SalesByUnits=FALSE,salesvalues_actual,salesunits_actual)</f>
        <v>#REF!</v>
      </c>
      <c r="DJ3"/>
      <c r="DK3" s="208"/>
      <c r="DL3" s="208" t="e">
        <f t="shared" ref="DL3:DW3" si="1">CS3-H3</f>
        <v>#REF!</v>
      </c>
      <c r="DM3" s="208" t="e">
        <f t="shared" si="1"/>
        <v>#REF!</v>
      </c>
      <c r="DN3" s="208" t="e">
        <f t="shared" si="1"/>
        <v>#REF!</v>
      </c>
      <c r="DO3" s="208" t="e">
        <f t="shared" si="1"/>
        <v>#REF!</v>
      </c>
      <c r="DP3" s="208" t="e">
        <f t="shared" si="1"/>
        <v>#REF!</v>
      </c>
      <c r="DQ3" s="208" t="e">
        <f t="shared" si="1"/>
        <v>#REF!</v>
      </c>
      <c r="DR3" s="208" t="e">
        <f t="shared" si="1"/>
        <v>#REF!</v>
      </c>
      <c r="DS3" s="208" t="e">
        <f t="shared" si="1"/>
        <v>#REF!</v>
      </c>
      <c r="DT3" s="208" t="e">
        <f t="shared" si="1"/>
        <v>#REF!</v>
      </c>
      <c r="DU3" s="208" t="e">
        <f t="shared" si="1"/>
        <v>#REF!</v>
      </c>
      <c r="DV3" s="208" t="e">
        <f t="shared" si="1"/>
        <v>#REF!</v>
      </c>
      <c r="DW3" s="208" t="e">
        <f t="shared" si="1"/>
        <v>#REF!</v>
      </c>
      <c r="DX3" s="209" t="e">
        <f>SUM(DL3:DW3)</f>
        <v>#REF!</v>
      </c>
      <c r="DY3" s="208" t="e">
        <f>DF3-IF(PS_AnnualDetail,AG3,#REF!)</f>
        <v>#REF!</v>
      </c>
      <c r="DZ3" s="209" t="e">
        <f>DG3-AH3</f>
        <v>#REF!</v>
      </c>
      <c r="EA3" s="210" t="e">
        <f>DH3-AI3</f>
        <v>#REF!</v>
      </c>
      <c r="EB3" s="209" t="e">
        <f>DI3-AJ3</f>
        <v>#REF!</v>
      </c>
      <c r="EC3"/>
    </row>
    <row r="4" spans="1:133" s="706" customFormat="1" ht="12.4" customHeight="1" x14ac:dyDescent="0.2">
      <c r="A4" s="716" t="s">
        <v>400</v>
      </c>
      <c r="B4" s="733"/>
      <c r="C4" s="719"/>
      <c r="D4" s="719"/>
      <c r="E4" s="719"/>
      <c r="F4" s="719"/>
      <c r="G4" s="971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965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965"/>
      <c r="AH4" s="1020"/>
      <c r="AI4" s="1020"/>
      <c r="AJ4" s="1020"/>
      <c r="AK4" s="1020"/>
      <c r="AL4" s="1020"/>
      <c r="AM4" s="1020"/>
      <c r="AN4" s="1020"/>
      <c r="AO4" s="1020"/>
      <c r="CR4" s="733"/>
      <c r="CS4" s="718"/>
      <c r="CT4" s="718"/>
      <c r="CU4" s="718"/>
      <c r="CV4" s="718"/>
      <c r="CW4" s="718"/>
      <c r="CX4" s="718"/>
      <c r="CY4" s="718"/>
      <c r="CZ4" s="718"/>
      <c r="DA4" s="718"/>
      <c r="DB4" s="718"/>
      <c r="DC4" s="718"/>
      <c r="DD4" s="718"/>
      <c r="DE4" s="721"/>
      <c r="DF4" s="718"/>
      <c r="DG4" s="721"/>
      <c r="DH4" s="722"/>
      <c r="DI4" s="721"/>
      <c r="DK4" s="734"/>
      <c r="DL4" s="724"/>
      <c r="DM4" s="724"/>
      <c r="DN4" s="724"/>
      <c r="DO4" s="724"/>
      <c r="DP4" s="724"/>
      <c r="DQ4" s="724"/>
      <c r="DR4" s="724"/>
      <c r="DS4" s="724"/>
      <c r="DT4" s="724"/>
      <c r="DU4" s="724"/>
      <c r="DV4" s="724"/>
      <c r="DW4" s="724"/>
      <c r="DX4" s="725"/>
      <c r="DY4" s="724"/>
      <c r="DZ4" s="725"/>
      <c r="EA4" s="726"/>
      <c r="EB4" s="725"/>
    </row>
    <row r="5" spans="1:133" s="706" customFormat="1" ht="12.4" customHeight="1" x14ac:dyDescent="0.2">
      <c r="A5" s="716"/>
      <c r="B5" s="733"/>
      <c r="C5" s="719"/>
      <c r="D5" s="719"/>
      <c r="E5" s="719"/>
      <c r="F5" s="719"/>
      <c r="G5" s="971"/>
      <c r="H5" s="719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965"/>
      <c r="U5" s="719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965"/>
      <c r="AH5" s="1020"/>
      <c r="AI5" s="1020"/>
      <c r="AJ5" s="1020"/>
      <c r="AK5" s="1020"/>
      <c r="AL5" s="1020"/>
      <c r="AM5" s="1020"/>
      <c r="AN5" s="1020"/>
      <c r="AO5" s="1020"/>
      <c r="CR5" s="733"/>
      <c r="CS5" s="718"/>
      <c r="CT5" s="718"/>
      <c r="CU5" s="718"/>
      <c r="CV5" s="718"/>
      <c r="CW5" s="718"/>
      <c r="CX5" s="718"/>
      <c r="CY5" s="718"/>
      <c r="CZ5" s="718"/>
      <c r="DA5" s="718"/>
      <c r="DB5" s="718"/>
      <c r="DC5" s="718"/>
      <c r="DD5" s="718"/>
      <c r="DE5" s="721"/>
      <c r="DF5" s="718"/>
      <c r="DG5" s="721"/>
      <c r="DH5" s="722"/>
      <c r="DI5" s="721"/>
      <c r="DK5" s="734"/>
      <c r="DL5" s="724"/>
      <c r="DM5" s="724"/>
      <c r="DN5" s="724"/>
      <c r="DO5" s="724"/>
      <c r="DP5" s="724"/>
      <c r="DQ5" s="724"/>
      <c r="DR5" s="724"/>
      <c r="DS5" s="724"/>
      <c r="DT5" s="724"/>
      <c r="DU5" s="724"/>
      <c r="DV5" s="724"/>
      <c r="DW5" s="724"/>
      <c r="DX5" s="725"/>
      <c r="DY5" s="724"/>
      <c r="DZ5" s="725"/>
      <c r="EA5" s="726"/>
      <c r="EB5" s="725"/>
    </row>
    <row r="6" spans="1:133" ht="12.4" customHeight="1" x14ac:dyDescent="0.2">
      <c r="A6" s="53" t="s">
        <v>262</v>
      </c>
      <c r="B6" s="211"/>
      <c r="C6" s="212">
        <f>'Sales and COGS Forecasts'!C457</f>
        <v>0</v>
      </c>
      <c r="D6" s="212">
        <f>'Sales and COGS Forecasts'!D457</f>
        <v>0</v>
      </c>
      <c r="E6" s="212">
        <f>'Sales and COGS Forecasts'!E457</f>
        <v>0</v>
      </c>
      <c r="F6" s="212">
        <f>'Sales and COGS Forecasts'!F457</f>
        <v>0</v>
      </c>
      <c r="G6" s="223">
        <f>SUM(C6:F6)</f>
        <v>0</v>
      </c>
      <c r="H6" s="212">
        <f>'Sales and COGS Forecasts'!H457</f>
        <v>0</v>
      </c>
      <c r="I6" s="212">
        <f>'Sales and COGS Forecasts'!I457</f>
        <v>0</v>
      </c>
      <c r="J6" s="212">
        <f>'Sales and COGS Forecasts'!J457</f>
        <v>0</v>
      </c>
      <c r="K6" s="212">
        <f>'Sales and COGS Forecasts'!K457</f>
        <v>0</v>
      </c>
      <c r="L6" s="212">
        <f>'Sales and COGS Forecasts'!L457</f>
        <v>0</v>
      </c>
      <c r="M6" s="212">
        <f>'Sales and COGS Forecasts'!M457</f>
        <v>0</v>
      </c>
      <c r="N6" s="212">
        <f>'Sales and COGS Forecasts'!N457</f>
        <v>0</v>
      </c>
      <c r="O6" s="212">
        <f>'Sales and COGS Forecasts'!O457</f>
        <v>0</v>
      </c>
      <c r="P6" s="212">
        <f>'Sales and COGS Forecasts'!P457</f>
        <v>0</v>
      </c>
      <c r="Q6" s="212">
        <f>'Sales and COGS Forecasts'!Q457</f>
        <v>0</v>
      </c>
      <c r="R6" s="212">
        <f>'Sales and COGS Forecasts'!R457</f>
        <v>0</v>
      </c>
      <c r="S6" s="212">
        <f>'Sales and COGS Forecasts'!S457</f>
        <v>0</v>
      </c>
      <c r="T6" s="103">
        <f>SUM(H6:S6)</f>
        <v>0</v>
      </c>
      <c r="U6" s="212">
        <f>'Sales and COGS Forecasts'!U457</f>
        <v>0</v>
      </c>
      <c r="V6" s="212">
        <f>'Sales and COGS Forecasts'!V457</f>
        <v>0</v>
      </c>
      <c r="W6" s="212">
        <f>'Sales and COGS Forecasts'!W457</f>
        <v>38562.500000000007</v>
      </c>
      <c r="X6" s="212">
        <f>'Sales and COGS Forecasts'!X457</f>
        <v>47125</v>
      </c>
      <c r="Y6" s="212">
        <f>'Sales and COGS Forecasts'!Y457</f>
        <v>54687.5</v>
      </c>
      <c r="Z6" s="212">
        <f>'Sales and COGS Forecasts'!Z457</f>
        <v>61250</v>
      </c>
      <c r="AA6" s="212">
        <f>'Sales and COGS Forecasts'!AA457</f>
        <v>67812.5</v>
      </c>
      <c r="AB6" s="212">
        <f>'Sales and COGS Forecasts'!AB457</f>
        <v>74375</v>
      </c>
      <c r="AC6" s="212">
        <f>'Sales and COGS Forecasts'!AC457</f>
        <v>80937.5</v>
      </c>
      <c r="AD6" s="212">
        <f>'Sales and COGS Forecasts'!AD457</f>
        <v>87500</v>
      </c>
      <c r="AE6" s="212">
        <f>'Sales and COGS Forecasts'!AE457</f>
        <v>94062.5</v>
      </c>
      <c r="AF6" s="212">
        <f>'Sales and COGS Forecasts'!AF457</f>
        <v>100625</v>
      </c>
      <c r="AG6" s="103">
        <f>SUM(U6:AF6)</f>
        <v>706937.5</v>
      </c>
      <c r="AH6" s="885">
        <f>'Sales and COGS Forecasts'!AH457</f>
        <v>2155558.75</v>
      </c>
      <c r="AI6" s="885">
        <f>'Sales and COGS Forecasts'!AI457</f>
        <v>4115594.0290000001</v>
      </c>
      <c r="AJ6" s="885">
        <f>'Sales and COGS Forecasts'!AJ457</f>
        <v>6972050.7458050027</v>
      </c>
      <c r="AK6" s="885">
        <f>'Sales and COGS Forecasts'!AK457</f>
        <v>10715028.003591096</v>
      </c>
      <c r="AL6" s="885">
        <f>'Sales and COGS Forecasts'!AL457</f>
        <v>14043876.310224324</v>
      </c>
      <c r="AM6" s="885">
        <f>'Sales and COGS Forecasts'!AM457</f>
        <v>16506104.155494926</v>
      </c>
      <c r="AN6" s="885">
        <f>'Sales and COGS Forecasts'!AN457</f>
        <v>18835006.115131181</v>
      </c>
      <c r="AO6" s="885">
        <f>'Sales and COGS Forecasts'!AO457</f>
        <v>21151147.968978815</v>
      </c>
      <c r="AP6"/>
      <c r="AQ6"/>
      <c r="CR6" s="211"/>
      <c r="CS6" s="212" t="e">
        <f t="shared" ref="CS6:DD6" si="2">IF(PS_SalesByUnits=FALSE,subtotal_direct_cost_of_sales_values_actual,subtotal_direct_cost_of_sales_units_actual)</f>
        <v>#REF!</v>
      </c>
      <c r="CT6" s="212" t="e">
        <f t="shared" si="2"/>
        <v>#REF!</v>
      </c>
      <c r="CU6" s="212" t="e">
        <f t="shared" si="2"/>
        <v>#REF!</v>
      </c>
      <c r="CV6" s="212" t="e">
        <f t="shared" si="2"/>
        <v>#REF!</v>
      </c>
      <c r="CW6" s="212" t="e">
        <f t="shared" si="2"/>
        <v>#REF!</v>
      </c>
      <c r="CX6" s="212" t="e">
        <f t="shared" si="2"/>
        <v>#REF!</v>
      </c>
      <c r="CY6" s="212" t="e">
        <f t="shared" si="2"/>
        <v>#REF!</v>
      </c>
      <c r="CZ6" s="212" t="e">
        <f t="shared" si="2"/>
        <v>#REF!</v>
      </c>
      <c r="DA6" s="212" t="e">
        <f t="shared" si="2"/>
        <v>#REF!</v>
      </c>
      <c r="DB6" s="212" t="e">
        <f t="shared" si="2"/>
        <v>#REF!</v>
      </c>
      <c r="DC6" s="212" t="e">
        <f t="shared" si="2"/>
        <v>#REF!</v>
      </c>
      <c r="DD6" s="212" t="e">
        <f t="shared" si="2"/>
        <v>#REF!</v>
      </c>
      <c r="DE6" s="103" t="e">
        <f>SUM(CS6:DD6)</f>
        <v>#REF!</v>
      </c>
      <c r="DF6" s="212" t="e">
        <f>IF(PS_SalesByUnits=FALSE,subtotal_direct_cost_of_sales_values_actual,subtotal_direct_cost_of_sales_units_actual)</f>
        <v>#REF!</v>
      </c>
      <c r="DG6" s="103" t="e">
        <f>IF(PS_SalesByUnits=FALSE,subtotal_direct_cost_of_sales_values_actual,subtotal_direct_cost_of_sales_units_actual)</f>
        <v>#REF!</v>
      </c>
      <c r="DH6" s="102" t="e">
        <f>IF(PS_SalesByUnits=FALSE,subtotal_direct_cost_of_sales_values_actual,subtotal_direct_cost_of_sales_units_actual)</f>
        <v>#REF!</v>
      </c>
      <c r="DI6" s="103" t="e">
        <f>IF(PS_SalesByUnits=FALSE,subtotal_direct_cost_of_sales_values_actual,subtotal_direct_cost_of_sales_units_actual)</f>
        <v>#REF!</v>
      </c>
      <c r="DJ6"/>
      <c r="DK6" s="44"/>
      <c r="DL6" s="213" t="e">
        <f t="shared" ref="DL6:DW8" si="3">H6-CS6</f>
        <v>#REF!</v>
      </c>
      <c r="DM6" s="213" t="e">
        <f t="shared" si="3"/>
        <v>#REF!</v>
      </c>
      <c r="DN6" s="213" t="e">
        <f t="shared" si="3"/>
        <v>#REF!</v>
      </c>
      <c r="DO6" s="213" t="e">
        <f t="shared" si="3"/>
        <v>#REF!</v>
      </c>
      <c r="DP6" s="213" t="e">
        <f t="shared" si="3"/>
        <v>#REF!</v>
      </c>
      <c r="DQ6" s="213" t="e">
        <f t="shared" si="3"/>
        <v>#REF!</v>
      </c>
      <c r="DR6" s="213" t="e">
        <f t="shared" si="3"/>
        <v>#REF!</v>
      </c>
      <c r="DS6" s="213" t="e">
        <f t="shared" si="3"/>
        <v>#REF!</v>
      </c>
      <c r="DT6" s="213" t="e">
        <f t="shared" si="3"/>
        <v>#REF!</v>
      </c>
      <c r="DU6" s="213" t="e">
        <f t="shared" si="3"/>
        <v>#REF!</v>
      </c>
      <c r="DV6" s="213" t="e">
        <f t="shared" si="3"/>
        <v>#REF!</v>
      </c>
      <c r="DW6" s="213" t="e">
        <f t="shared" si="3"/>
        <v>#REF!</v>
      </c>
      <c r="DX6" s="94" t="e">
        <f>SUM(DL6:DW6)</f>
        <v>#REF!</v>
      </c>
      <c r="DY6" s="213" t="e">
        <f>IF(PS_AnnualDetail,AG6,#REF!)-DF6</f>
        <v>#REF!</v>
      </c>
      <c r="DZ6" s="94" t="e">
        <f t="shared" ref="DZ6:EB8" si="4">AH6-DG6</f>
        <v>#REF!</v>
      </c>
      <c r="EA6" s="93" t="e">
        <f t="shared" si="4"/>
        <v>#REF!</v>
      </c>
      <c r="EB6" s="94" t="e">
        <f t="shared" si="4"/>
        <v>#REF!</v>
      </c>
      <c r="EC6"/>
    </row>
    <row r="7" spans="1:133" ht="12.4" customHeight="1" x14ac:dyDescent="0.2">
      <c r="A7" s="53" t="s">
        <v>274</v>
      </c>
      <c r="B7" s="211"/>
      <c r="C7" s="482">
        <v>0</v>
      </c>
      <c r="D7" s="482">
        <v>0</v>
      </c>
      <c r="E7" s="482">
        <v>0</v>
      </c>
      <c r="F7" s="482">
        <v>0</v>
      </c>
      <c r="G7" s="223">
        <f>SUM(C7:F7)</f>
        <v>0</v>
      </c>
      <c r="H7" s="482">
        <v>0</v>
      </c>
      <c r="I7" s="482">
        <v>0</v>
      </c>
      <c r="J7" s="482">
        <v>0</v>
      </c>
      <c r="K7" s="482">
        <v>0</v>
      </c>
      <c r="L7" s="482">
        <v>0</v>
      </c>
      <c r="M7" s="482">
        <v>0</v>
      </c>
      <c r="N7" s="482">
        <v>0</v>
      </c>
      <c r="O7" s="482">
        <v>0</v>
      </c>
      <c r="P7" s="482">
        <v>0</v>
      </c>
      <c r="Q7" s="482">
        <v>0</v>
      </c>
      <c r="R7" s="482">
        <v>0</v>
      </c>
      <c r="S7" s="482">
        <v>0</v>
      </c>
      <c r="T7" s="103">
        <f>SUM(H7:S7)</f>
        <v>0</v>
      </c>
      <c r="U7" s="482">
        <v>0</v>
      </c>
      <c r="V7" s="482">
        <v>0</v>
      </c>
      <c r="W7" s="482">
        <v>0</v>
      </c>
      <c r="X7" s="482">
        <v>0</v>
      </c>
      <c r="Y7" s="482">
        <v>0</v>
      </c>
      <c r="Z7" s="482">
        <v>0</v>
      </c>
      <c r="AA7" s="482">
        <v>0</v>
      </c>
      <c r="AB7" s="482">
        <v>0</v>
      </c>
      <c r="AC7" s="482">
        <v>0</v>
      </c>
      <c r="AD7" s="482">
        <v>0</v>
      </c>
      <c r="AE7" s="482">
        <v>0</v>
      </c>
      <c r="AF7" s="482">
        <v>0</v>
      </c>
      <c r="AG7" s="103">
        <f>SUM(U7:AF7)</f>
        <v>0</v>
      </c>
      <c r="AH7" s="980">
        <v>0</v>
      </c>
      <c r="AI7" s="980">
        <v>0</v>
      </c>
      <c r="AJ7" s="980">
        <v>0</v>
      </c>
      <c r="AK7" s="980">
        <v>0</v>
      </c>
      <c r="AL7" s="980">
        <v>0</v>
      </c>
      <c r="AM7" s="980">
        <v>0</v>
      </c>
      <c r="AN7" s="980">
        <v>0</v>
      </c>
      <c r="AO7" s="980">
        <v>0</v>
      </c>
      <c r="AP7"/>
      <c r="AQ7"/>
      <c r="CR7" s="498"/>
      <c r="CS7" s="482">
        <f t="shared" ref="CS7:DD8" si="5">H7</f>
        <v>0</v>
      </c>
      <c r="CT7" s="482">
        <f t="shared" si="5"/>
        <v>0</v>
      </c>
      <c r="CU7" s="482">
        <f t="shared" si="5"/>
        <v>0</v>
      </c>
      <c r="CV7" s="482">
        <f t="shared" si="5"/>
        <v>0</v>
      </c>
      <c r="CW7" s="482">
        <f t="shared" si="5"/>
        <v>0</v>
      </c>
      <c r="CX7" s="482">
        <f t="shared" si="5"/>
        <v>0</v>
      </c>
      <c r="CY7" s="482">
        <f t="shared" si="5"/>
        <v>0</v>
      </c>
      <c r="CZ7" s="482">
        <f t="shared" si="5"/>
        <v>0</v>
      </c>
      <c r="DA7" s="482">
        <f t="shared" si="5"/>
        <v>0</v>
      </c>
      <c r="DB7" s="482">
        <f t="shared" si="5"/>
        <v>0</v>
      </c>
      <c r="DC7" s="482">
        <f t="shared" si="5"/>
        <v>0</v>
      </c>
      <c r="DD7" s="482">
        <f t="shared" si="5"/>
        <v>0</v>
      </c>
      <c r="DE7" s="103">
        <f>SUM(CS7:DD7)</f>
        <v>0</v>
      </c>
      <c r="DF7" s="483" t="e">
        <f>IF(PS_AnnualDetail,AG7,#REF!)</f>
        <v>#REF!</v>
      </c>
      <c r="DG7" s="484">
        <f t="shared" ref="DG7:DI8" si="6">AH7</f>
        <v>0</v>
      </c>
      <c r="DH7" s="483">
        <f t="shared" si="6"/>
        <v>0</v>
      </c>
      <c r="DI7" s="484">
        <f t="shared" si="6"/>
        <v>0</v>
      </c>
      <c r="DJ7"/>
      <c r="DK7" s="44"/>
      <c r="DL7" s="213">
        <f t="shared" si="3"/>
        <v>0</v>
      </c>
      <c r="DM7" s="213">
        <f t="shared" si="3"/>
        <v>0</v>
      </c>
      <c r="DN7" s="213">
        <f t="shared" si="3"/>
        <v>0</v>
      </c>
      <c r="DO7" s="213">
        <f t="shared" si="3"/>
        <v>0</v>
      </c>
      <c r="DP7" s="213">
        <f t="shared" si="3"/>
        <v>0</v>
      </c>
      <c r="DQ7" s="213">
        <f t="shared" si="3"/>
        <v>0</v>
      </c>
      <c r="DR7" s="213">
        <f t="shared" si="3"/>
        <v>0</v>
      </c>
      <c r="DS7" s="213">
        <f t="shared" si="3"/>
        <v>0</v>
      </c>
      <c r="DT7" s="213">
        <f t="shared" si="3"/>
        <v>0</v>
      </c>
      <c r="DU7" s="213">
        <f t="shared" si="3"/>
        <v>0</v>
      </c>
      <c r="DV7" s="213">
        <f t="shared" si="3"/>
        <v>0</v>
      </c>
      <c r="DW7" s="213">
        <f t="shared" si="3"/>
        <v>0</v>
      </c>
      <c r="DX7" s="94">
        <f>SUM(DL7:DW7)</f>
        <v>0</v>
      </c>
      <c r="DY7" s="213" t="e">
        <f>IF(PS_AnnualDetail,AG7,#REF!)-DF7</f>
        <v>#REF!</v>
      </c>
      <c r="DZ7" s="94">
        <f t="shared" si="4"/>
        <v>0</v>
      </c>
      <c r="EA7" s="93">
        <f t="shared" si="4"/>
        <v>0</v>
      </c>
      <c r="EB7" s="94">
        <f t="shared" si="4"/>
        <v>0</v>
      </c>
      <c r="EC7"/>
    </row>
    <row r="8" spans="1:133" ht="12.4" customHeight="1" x14ac:dyDescent="0.2">
      <c r="A8" s="704" t="s">
        <v>275</v>
      </c>
      <c r="B8" s="498"/>
      <c r="C8" s="696">
        <f>'Sales and COGS Forecasts'!C465</f>
        <v>0</v>
      </c>
      <c r="D8" s="696">
        <f>'Sales and COGS Forecasts'!D465</f>
        <v>0</v>
      </c>
      <c r="E8" s="696">
        <f>'Sales and COGS Forecasts'!E465</f>
        <v>0</v>
      </c>
      <c r="F8" s="696">
        <f>'Sales and COGS Forecasts'!F465</f>
        <v>0</v>
      </c>
      <c r="G8" s="814">
        <f>SUM(C8:F8)</f>
        <v>0</v>
      </c>
      <c r="H8" s="696">
        <f>'Sales and COGS Forecasts'!H465</f>
        <v>0</v>
      </c>
      <c r="I8" s="696">
        <f>'Sales and COGS Forecasts'!I465</f>
        <v>0</v>
      </c>
      <c r="J8" s="696">
        <f>'Sales and COGS Forecasts'!J465</f>
        <v>0</v>
      </c>
      <c r="K8" s="696">
        <f>'Sales and COGS Forecasts'!K465</f>
        <v>0</v>
      </c>
      <c r="L8" s="696">
        <f>'Sales and COGS Forecasts'!L465</f>
        <v>0</v>
      </c>
      <c r="M8" s="696">
        <f>'Sales and COGS Forecasts'!M465</f>
        <v>0</v>
      </c>
      <c r="N8" s="696">
        <f>'Sales and COGS Forecasts'!N465</f>
        <v>0</v>
      </c>
      <c r="O8" s="696">
        <f>'Sales and COGS Forecasts'!O465</f>
        <v>0</v>
      </c>
      <c r="P8" s="696">
        <f>'Sales and COGS Forecasts'!P465</f>
        <v>0</v>
      </c>
      <c r="Q8" s="696">
        <f>'Sales and COGS Forecasts'!Q465</f>
        <v>0</v>
      </c>
      <c r="R8" s="696">
        <f>'Sales and COGS Forecasts'!R465</f>
        <v>0</v>
      </c>
      <c r="S8" s="696">
        <f>'Sales and COGS Forecasts'!S465</f>
        <v>0</v>
      </c>
      <c r="T8" s="103">
        <f>SUM(H8:S8)</f>
        <v>0</v>
      </c>
      <c r="U8" s="696">
        <f>'Sales and COGS Forecasts'!U465</f>
        <v>8333.3333333333339</v>
      </c>
      <c r="V8" s="696">
        <f>'Sales and COGS Forecasts'!V465</f>
        <v>8333.3333333333339</v>
      </c>
      <c r="W8" s="696">
        <f>'Sales and COGS Forecasts'!W465</f>
        <v>8333.3333333333339</v>
      </c>
      <c r="X8" s="696">
        <f>'Sales and COGS Forecasts'!X465</f>
        <v>8333.3333333333339</v>
      </c>
      <c r="Y8" s="696">
        <f>'Sales and COGS Forecasts'!Y465</f>
        <v>8333.3333333333339</v>
      </c>
      <c r="Z8" s="696">
        <f>'Sales and COGS Forecasts'!Z465</f>
        <v>8333.3333333333339</v>
      </c>
      <c r="AA8" s="696">
        <f>'Sales and COGS Forecasts'!AA465</f>
        <v>8333.3333333333339</v>
      </c>
      <c r="AB8" s="696">
        <f>'Sales and COGS Forecasts'!AB465</f>
        <v>8333.3333333333339</v>
      </c>
      <c r="AC8" s="696">
        <f>'Sales and COGS Forecasts'!AC465</f>
        <v>8333.3333333333339</v>
      </c>
      <c r="AD8" s="696">
        <f>'Sales and COGS Forecasts'!AD465</f>
        <v>8333.3333333333339</v>
      </c>
      <c r="AE8" s="696">
        <f>'Sales and COGS Forecasts'!AE465</f>
        <v>8333.3333333333339</v>
      </c>
      <c r="AF8" s="696">
        <f>'Sales and COGS Forecasts'!AF465</f>
        <v>8333.3333333333339</v>
      </c>
      <c r="AG8" s="103">
        <f>SUM(U8:AF8)</f>
        <v>99999.999999999985</v>
      </c>
      <c r="AH8" s="979">
        <f>'Sales and COGS Forecasts'!AH465</f>
        <v>6233345.3125</v>
      </c>
      <c r="AI8" s="979">
        <f>'Sales and COGS Forecasts'!AI465</f>
        <v>13583477.608749999</v>
      </c>
      <c r="AJ8" s="979">
        <f>'Sales and COGS Forecasts'!AJ465</f>
        <v>24295190.296768758</v>
      </c>
      <c r="AK8" s="979">
        <f>'Sales and COGS Forecasts'!AK465</f>
        <v>38331355.013466626</v>
      </c>
      <c r="AL8" s="979">
        <f>'Sales and COGS Forecasts'!AL465</f>
        <v>50814536.163341202</v>
      </c>
      <c r="AM8" s="979">
        <f>'Sales and COGS Forecasts'!AM465</f>
        <v>60047890.583105974</v>
      </c>
      <c r="AN8" s="979">
        <f>'Sales and COGS Forecasts'!AN465</f>
        <v>68781272.931741923</v>
      </c>
      <c r="AO8" s="979">
        <f>'Sales and COGS Forecasts'!AO465</f>
        <v>77466804.883670568</v>
      </c>
      <c r="AP8"/>
      <c r="AQ8"/>
      <c r="CR8" s="498"/>
      <c r="CS8" s="482">
        <f t="shared" si="5"/>
        <v>0</v>
      </c>
      <c r="CT8" s="482">
        <f t="shared" si="5"/>
        <v>0</v>
      </c>
      <c r="CU8" s="482">
        <f t="shared" si="5"/>
        <v>0</v>
      </c>
      <c r="CV8" s="482">
        <f t="shared" si="5"/>
        <v>0</v>
      </c>
      <c r="CW8" s="482">
        <f t="shared" si="5"/>
        <v>0</v>
      </c>
      <c r="CX8" s="482">
        <f t="shared" si="5"/>
        <v>0</v>
      </c>
      <c r="CY8" s="482">
        <f t="shared" si="5"/>
        <v>0</v>
      </c>
      <c r="CZ8" s="482">
        <f t="shared" si="5"/>
        <v>0</v>
      </c>
      <c r="DA8" s="482">
        <f t="shared" si="5"/>
        <v>0</v>
      </c>
      <c r="DB8" s="482">
        <f t="shared" si="5"/>
        <v>0</v>
      </c>
      <c r="DC8" s="482">
        <f t="shared" si="5"/>
        <v>0</v>
      </c>
      <c r="DD8" s="482">
        <f t="shared" si="5"/>
        <v>0</v>
      </c>
      <c r="DE8" s="103">
        <f>SUM(CS8:DD8)</f>
        <v>0</v>
      </c>
      <c r="DF8" s="483" t="e">
        <f>IF(PS_AnnualDetail,AG8,#REF!)</f>
        <v>#REF!</v>
      </c>
      <c r="DG8" s="484">
        <f t="shared" si="6"/>
        <v>6233345.3125</v>
      </c>
      <c r="DH8" s="483">
        <f t="shared" si="6"/>
        <v>13583477.608749999</v>
      </c>
      <c r="DI8" s="484">
        <f t="shared" si="6"/>
        <v>24295190.296768758</v>
      </c>
      <c r="DJ8"/>
      <c r="DK8" s="214"/>
      <c r="DL8" s="93">
        <f t="shared" si="3"/>
        <v>0</v>
      </c>
      <c r="DM8" s="93">
        <f t="shared" si="3"/>
        <v>0</v>
      </c>
      <c r="DN8" s="93">
        <f t="shared" si="3"/>
        <v>0</v>
      </c>
      <c r="DO8" s="93">
        <f t="shared" si="3"/>
        <v>0</v>
      </c>
      <c r="DP8" s="93">
        <f t="shared" si="3"/>
        <v>0</v>
      </c>
      <c r="DQ8" s="93">
        <f t="shared" si="3"/>
        <v>0</v>
      </c>
      <c r="DR8" s="93">
        <f t="shared" si="3"/>
        <v>0</v>
      </c>
      <c r="DS8" s="93">
        <f t="shared" si="3"/>
        <v>0</v>
      </c>
      <c r="DT8" s="93">
        <f t="shared" si="3"/>
        <v>0</v>
      </c>
      <c r="DU8" s="93">
        <f t="shared" si="3"/>
        <v>0</v>
      </c>
      <c r="DV8" s="93">
        <f t="shared" si="3"/>
        <v>0</v>
      </c>
      <c r="DW8" s="93">
        <f t="shared" si="3"/>
        <v>0</v>
      </c>
      <c r="DX8" s="94">
        <f>SUM(DL8:DW8)</f>
        <v>0</v>
      </c>
      <c r="DY8" s="215" t="e">
        <f>IF(PS_AnnualDetail,AG8,#REF!)-DF8</f>
        <v>#REF!</v>
      </c>
      <c r="DZ8" s="94">
        <f t="shared" si="4"/>
        <v>0</v>
      </c>
      <c r="EA8" s="215">
        <f t="shared" si="4"/>
        <v>0</v>
      </c>
      <c r="EB8" s="94">
        <f t="shared" si="4"/>
        <v>0</v>
      </c>
      <c r="EC8"/>
    </row>
    <row r="9" spans="1:133" ht="12.4" customHeight="1" thickBot="1" x14ac:dyDescent="0.25">
      <c r="A9" s="582"/>
      <c r="B9" s="583"/>
      <c r="C9" s="584"/>
      <c r="D9" s="584"/>
      <c r="E9" s="584"/>
      <c r="F9" s="584"/>
      <c r="G9" s="972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5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5"/>
      <c r="AH9" s="1021"/>
      <c r="AI9" s="1021"/>
      <c r="AJ9" s="1021"/>
      <c r="AK9" s="1021"/>
      <c r="AL9" s="1021"/>
      <c r="AM9" s="1021"/>
      <c r="AN9" s="1021"/>
      <c r="AO9" s="1021"/>
      <c r="AP9" s="581"/>
      <c r="AQ9"/>
      <c r="CR9" s="498"/>
      <c r="CS9" s="482"/>
      <c r="CT9" s="482"/>
      <c r="CU9" s="482"/>
      <c r="CV9" s="482"/>
      <c r="CW9" s="482"/>
      <c r="CX9" s="482"/>
      <c r="CY9" s="482"/>
      <c r="CZ9" s="482"/>
      <c r="DA9" s="482"/>
      <c r="DB9" s="482"/>
      <c r="DC9" s="482"/>
      <c r="DD9" s="482"/>
      <c r="DE9" s="103"/>
      <c r="DF9" s="482"/>
      <c r="DG9" s="484"/>
      <c r="DH9" s="483"/>
      <c r="DI9" s="484"/>
      <c r="DJ9"/>
      <c r="DK9" s="214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4"/>
      <c r="DY9" s="93"/>
      <c r="DZ9" s="94"/>
      <c r="EA9" s="580"/>
      <c r="EB9" s="97"/>
      <c r="EC9"/>
    </row>
    <row r="10" spans="1:133" ht="12.4" customHeight="1" x14ac:dyDescent="0.2">
      <c r="A10" s="161" t="s">
        <v>272</v>
      </c>
      <c r="B10" s="217"/>
      <c r="C10" s="218">
        <f t="shared" ref="C10:F10" si="7">SUM(C6:C9)</f>
        <v>0</v>
      </c>
      <c r="D10" s="218">
        <f t="shared" si="7"/>
        <v>0</v>
      </c>
      <c r="E10" s="218">
        <f t="shared" si="7"/>
        <v>0</v>
      </c>
      <c r="F10" s="218">
        <f t="shared" si="7"/>
        <v>0</v>
      </c>
      <c r="G10" s="219">
        <f t="shared" ref="G10" si="8">SUM(G6:G9)</f>
        <v>0</v>
      </c>
      <c r="H10" s="218">
        <f t="shared" ref="H10:U10" si="9">SUM(H6:H9)</f>
        <v>0</v>
      </c>
      <c r="I10" s="218">
        <f t="shared" ref="I10:S10" si="10">SUM(I6:I9)</f>
        <v>0</v>
      </c>
      <c r="J10" s="218">
        <f t="shared" si="10"/>
        <v>0</v>
      </c>
      <c r="K10" s="218">
        <f t="shared" si="10"/>
        <v>0</v>
      </c>
      <c r="L10" s="218">
        <f t="shared" si="10"/>
        <v>0</v>
      </c>
      <c r="M10" s="218">
        <f t="shared" si="10"/>
        <v>0</v>
      </c>
      <c r="N10" s="218">
        <f t="shared" si="10"/>
        <v>0</v>
      </c>
      <c r="O10" s="218">
        <f t="shared" si="10"/>
        <v>0</v>
      </c>
      <c r="P10" s="218">
        <f t="shared" si="10"/>
        <v>0</v>
      </c>
      <c r="Q10" s="218">
        <f t="shared" si="10"/>
        <v>0</v>
      </c>
      <c r="R10" s="218">
        <f t="shared" si="10"/>
        <v>0</v>
      </c>
      <c r="S10" s="218">
        <f t="shared" si="10"/>
        <v>0</v>
      </c>
      <c r="T10" s="219">
        <f t="shared" si="9"/>
        <v>0</v>
      </c>
      <c r="U10" s="218">
        <f t="shared" si="9"/>
        <v>8333.3333333333339</v>
      </c>
      <c r="V10" s="218">
        <f t="shared" ref="V10:AF10" si="11">SUM(V6:V9)</f>
        <v>8333.3333333333339</v>
      </c>
      <c r="W10" s="218">
        <f t="shared" si="11"/>
        <v>46895.833333333343</v>
      </c>
      <c r="X10" s="218">
        <f t="shared" si="11"/>
        <v>55458.333333333336</v>
      </c>
      <c r="Y10" s="218">
        <f t="shared" si="11"/>
        <v>63020.833333333336</v>
      </c>
      <c r="Z10" s="218">
        <f t="shared" si="11"/>
        <v>69583.333333333328</v>
      </c>
      <c r="AA10" s="218">
        <f t="shared" si="11"/>
        <v>76145.833333333328</v>
      </c>
      <c r="AB10" s="218">
        <f t="shared" si="11"/>
        <v>82708.333333333328</v>
      </c>
      <c r="AC10" s="218">
        <f t="shared" si="11"/>
        <v>89270.833333333328</v>
      </c>
      <c r="AD10" s="218">
        <f t="shared" si="11"/>
        <v>95833.333333333328</v>
      </c>
      <c r="AE10" s="218">
        <f t="shared" si="11"/>
        <v>102395.83333333333</v>
      </c>
      <c r="AF10" s="218">
        <f t="shared" si="11"/>
        <v>108958.33333333333</v>
      </c>
      <c r="AG10" s="219">
        <f t="shared" ref="AG10:AO10" si="12">SUM(AG6:AG9)</f>
        <v>806937.5</v>
      </c>
      <c r="AH10" s="887">
        <f t="shared" si="12"/>
        <v>8388904.0625</v>
      </c>
      <c r="AI10" s="887">
        <f t="shared" si="12"/>
        <v>17699071.63775</v>
      </c>
      <c r="AJ10" s="887">
        <f t="shared" si="12"/>
        <v>31267241.042573761</v>
      </c>
      <c r="AK10" s="887">
        <f t="shared" si="12"/>
        <v>49046383.017057724</v>
      </c>
      <c r="AL10" s="887">
        <f t="shared" si="12"/>
        <v>64858412.473565526</v>
      </c>
      <c r="AM10" s="887">
        <f t="shared" si="12"/>
        <v>76553994.738600895</v>
      </c>
      <c r="AN10" s="887">
        <f t="shared" si="12"/>
        <v>87616279.046873108</v>
      </c>
      <c r="AO10" s="887">
        <f t="shared" si="12"/>
        <v>98617952.852649391</v>
      </c>
      <c r="AP10"/>
      <c r="AQ10"/>
      <c r="CR10" s="217"/>
      <c r="CS10" s="218" t="e">
        <f t="shared" ref="CS10:DI10" si="13">SUM(CS6:CS9)</f>
        <v>#REF!</v>
      </c>
      <c r="CT10" s="218" t="e">
        <f t="shared" si="13"/>
        <v>#REF!</v>
      </c>
      <c r="CU10" s="218" t="e">
        <f t="shared" si="13"/>
        <v>#REF!</v>
      </c>
      <c r="CV10" s="218" t="e">
        <f t="shared" si="13"/>
        <v>#REF!</v>
      </c>
      <c r="CW10" s="218" t="e">
        <f t="shared" si="13"/>
        <v>#REF!</v>
      </c>
      <c r="CX10" s="218" t="e">
        <f t="shared" si="13"/>
        <v>#REF!</v>
      </c>
      <c r="CY10" s="218" t="e">
        <f t="shared" si="13"/>
        <v>#REF!</v>
      </c>
      <c r="CZ10" s="218" t="e">
        <f t="shared" si="13"/>
        <v>#REF!</v>
      </c>
      <c r="DA10" s="218" t="e">
        <f t="shared" si="13"/>
        <v>#REF!</v>
      </c>
      <c r="DB10" s="218" t="e">
        <f t="shared" si="13"/>
        <v>#REF!</v>
      </c>
      <c r="DC10" s="218" t="e">
        <f t="shared" si="13"/>
        <v>#REF!</v>
      </c>
      <c r="DD10" s="218" t="e">
        <f t="shared" si="13"/>
        <v>#REF!</v>
      </c>
      <c r="DE10" s="219" t="e">
        <f t="shared" si="13"/>
        <v>#REF!</v>
      </c>
      <c r="DF10" s="218" t="e">
        <f t="shared" si="13"/>
        <v>#REF!</v>
      </c>
      <c r="DG10" s="219" t="e">
        <f t="shared" si="13"/>
        <v>#REF!</v>
      </c>
      <c r="DH10" s="578" t="e">
        <f t="shared" si="13"/>
        <v>#REF!</v>
      </c>
      <c r="DI10" s="219" t="e">
        <f t="shared" si="13"/>
        <v>#REF!</v>
      </c>
      <c r="DJ10"/>
      <c r="DK10" s="220"/>
      <c r="DL10" s="90" t="e">
        <f t="shared" ref="DL10:EB10" si="14">SUM(DL6:DL9)</f>
        <v>#REF!</v>
      </c>
      <c r="DM10" s="90" t="e">
        <f t="shared" si="14"/>
        <v>#REF!</v>
      </c>
      <c r="DN10" s="90" t="e">
        <f t="shared" si="14"/>
        <v>#REF!</v>
      </c>
      <c r="DO10" s="90" t="e">
        <f t="shared" si="14"/>
        <v>#REF!</v>
      </c>
      <c r="DP10" s="90" t="e">
        <f t="shared" si="14"/>
        <v>#REF!</v>
      </c>
      <c r="DQ10" s="90" t="e">
        <f t="shared" si="14"/>
        <v>#REF!</v>
      </c>
      <c r="DR10" s="90" t="e">
        <f t="shared" si="14"/>
        <v>#REF!</v>
      </c>
      <c r="DS10" s="90" t="e">
        <f t="shared" si="14"/>
        <v>#REF!</v>
      </c>
      <c r="DT10" s="90" t="e">
        <f t="shared" si="14"/>
        <v>#REF!</v>
      </c>
      <c r="DU10" s="90" t="e">
        <f t="shared" si="14"/>
        <v>#REF!</v>
      </c>
      <c r="DV10" s="90" t="e">
        <f t="shared" si="14"/>
        <v>#REF!</v>
      </c>
      <c r="DW10" s="90" t="e">
        <f t="shared" si="14"/>
        <v>#REF!</v>
      </c>
      <c r="DX10" s="91" t="e">
        <f t="shared" si="14"/>
        <v>#REF!</v>
      </c>
      <c r="DY10" s="244" t="e">
        <f t="shared" si="14"/>
        <v>#REF!</v>
      </c>
      <c r="DZ10" s="91" t="e">
        <f t="shared" si="14"/>
        <v>#REF!</v>
      </c>
      <c r="EA10" s="90" t="e">
        <f t="shared" si="14"/>
        <v>#REF!</v>
      </c>
      <c r="EB10" s="91" t="e">
        <f t="shared" si="14"/>
        <v>#REF!</v>
      </c>
      <c r="EC10"/>
    </row>
    <row r="11" spans="1:133" ht="12.4" customHeight="1" x14ac:dyDescent="0.2">
      <c r="A11" s="221"/>
      <c r="B11" s="109"/>
      <c r="C11" s="120"/>
      <c r="D11" s="120"/>
      <c r="E11" s="120"/>
      <c r="F11" s="120"/>
      <c r="G11" s="55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55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55"/>
      <c r="AH11" s="1022"/>
      <c r="AI11" s="1022"/>
      <c r="AJ11" s="1022"/>
      <c r="AK11" s="1022"/>
      <c r="AL11" s="1022"/>
      <c r="AM11" s="1022"/>
      <c r="AN11" s="1022"/>
      <c r="AO11" s="1022"/>
      <c r="AP11"/>
      <c r="AQ11"/>
      <c r="CR11" s="109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55"/>
      <c r="DF11" s="120"/>
      <c r="DG11" s="55"/>
      <c r="DH11" s="120"/>
      <c r="DI11" s="55"/>
      <c r="DJ11"/>
      <c r="DK11" s="130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16"/>
      <c r="DY11" s="222"/>
      <c r="DZ11" s="216"/>
      <c r="EA11" s="222"/>
      <c r="EB11" s="216"/>
      <c r="EC11"/>
    </row>
    <row r="12" spans="1:133" ht="12.4" customHeight="1" x14ac:dyDescent="0.2">
      <c r="A12" s="53" t="s">
        <v>270</v>
      </c>
      <c r="B12" s="116"/>
      <c r="C12" s="211">
        <f>C3-C10</f>
        <v>0</v>
      </c>
      <c r="D12" s="211">
        <f t="shared" ref="D12:F12" si="15">D3-D10</f>
        <v>0</v>
      </c>
      <c r="E12" s="211">
        <f t="shared" si="15"/>
        <v>0</v>
      </c>
      <c r="F12" s="211">
        <f t="shared" si="15"/>
        <v>0</v>
      </c>
      <c r="G12" s="223">
        <f t="shared" ref="G12" si="16">G3-G10</f>
        <v>0</v>
      </c>
      <c r="H12" s="211">
        <f>H3-H10</f>
        <v>0</v>
      </c>
      <c r="I12" s="211">
        <f t="shared" ref="I12:S12" si="17">I3-I10</f>
        <v>0</v>
      </c>
      <c r="J12" s="211">
        <f t="shared" si="17"/>
        <v>0</v>
      </c>
      <c r="K12" s="211">
        <f t="shared" si="17"/>
        <v>0</v>
      </c>
      <c r="L12" s="211">
        <f t="shared" si="17"/>
        <v>0</v>
      </c>
      <c r="M12" s="211">
        <f t="shared" si="17"/>
        <v>0</v>
      </c>
      <c r="N12" s="211">
        <f t="shared" si="17"/>
        <v>0</v>
      </c>
      <c r="O12" s="211">
        <f t="shared" si="17"/>
        <v>0</v>
      </c>
      <c r="P12" s="211">
        <f t="shared" si="17"/>
        <v>0</v>
      </c>
      <c r="Q12" s="211">
        <f t="shared" si="17"/>
        <v>0</v>
      </c>
      <c r="R12" s="211">
        <f t="shared" si="17"/>
        <v>0</v>
      </c>
      <c r="S12" s="211">
        <f t="shared" si="17"/>
        <v>0</v>
      </c>
      <c r="T12" s="223">
        <f>T3-T10</f>
        <v>0</v>
      </c>
      <c r="U12" s="211">
        <f t="shared" ref="U12:AF12" si="18">U3-U10</f>
        <v>-8333.3333333333339</v>
      </c>
      <c r="V12" s="211">
        <f t="shared" si="18"/>
        <v>-8333.3333333333339</v>
      </c>
      <c r="W12" s="211">
        <f t="shared" si="18"/>
        <v>531541.66666666674</v>
      </c>
      <c r="X12" s="211">
        <f t="shared" si="18"/>
        <v>651416.66666666663</v>
      </c>
      <c r="Y12" s="211">
        <f t="shared" si="18"/>
        <v>757291.66666666663</v>
      </c>
      <c r="Z12" s="211">
        <f t="shared" si="18"/>
        <v>849166.66666666663</v>
      </c>
      <c r="AA12" s="211">
        <f t="shared" si="18"/>
        <v>941041.66666666663</v>
      </c>
      <c r="AB12" s="211">
        <f t="shared" si="18"/>
        <v>1032916.6666666666</v>
      </c>
      <c r="AC12" s="211">
        <f t="shared" si="18"/>
        <v>1124791.6666666667</v>
      </c>
      <c r="AD12" s="211">
        <f t="shared" si="18"/>
        <v>1216666.6666666667</v>
      </c>
      <c r="AE12" s="211">
        <f t="shared" si="18"/>
        <v>1308541.6666666667</v>
      </c>
      <c r="AF12" s="211">
        <f t="shared" si="18"/>
        <v>1400416.6666666667</v>
      </c>
      <c r="AG12" s="223">
        <f t="shared" ref="AG12:AO12" si="19">AG3-AG10</f>
        <v>9797125</v>
      </c>
      <c r="AH12" s="895">
        <f t="shared" si="19"/>
        <v>23944477.187499996</v>
      </c>
      <c r="AI12" s="895">
        <f t="shared" si="19"/>
        <v>44034838.797249995</v>
      </c>
      <c r="AJ12" s="895">
        <f t="shared" si="19"/>
        <v>73313520.144501209</v>
      </c>
      <c r="AK12" s="895">
        <f t="shared" si="19"/>
        <v>111679037.03680882</v>
      </c>
      <c r="AL12" s="895">
        <f t="shared" si="19"/>
        <v>145799732.17979926</v>
      </c>
      <c r="AM12" s="895">
        <f t="shared" si="19"/>
        <v>171037567.59382308</v>
      </c>
      <c r="AN12" s="895">
        <f t="shared" si="19"/>
        <v>194908812.68009466</v>
      </c>
      <c r="AO12" s="895">
        <f t="shared" si="19"/>
        <v>218649266.68203288</v>
      </c>
      <c r="AP12"/>
      <c r="AQ12"/>
      <c r="CR12" s="116"/>
      <c r="CS12" s="211" t="e">
        <f t="shared" ref="CS12:DI12" si="20">sales_actual-total_cost_of_sales_actual</f>
        <v>#REF!</v>
      </c>
      <c r="CT12" s="211" t="e">
        <f t="shared" si="20"/>
        <v>#REF!</v>
      </c>
      <c r="CU12" s="211" t="e">
        <f t="shared" si="20"/>
        <v>#REF!</v>
      </c>
      <c r="CV12" s="211" t="e">
        <f t="shared" si="20"/>
        <v>#REF!</v>
      </c>
      <c r="CW12" s="211" t="e">
        <f t="shared" si="20"/>
        <v>#REF!</v>
      </c>
      <c r="CX12" s="211" t="e">
        <f t="shared" si="20"/>
        <v>#REF!</v>
      </c>
      <c r="CY12" s="211" t="e">
        <f t="shared" si="20"/>
        <v>#REF!</v>
      </c>
      <c r="CZ12" s="211" t="e">
        <f t="shared" si="20"/>
        <v>#REF!</v>
      </c>
      <c r="DA12" s="211" t="e">
        <f t="shared" si="20"/>
        <v>#REF!</v>
      </c>
      <c r="DB12" s="211" t="e">
        <f t="shared" si="20"/>
        <v>#REF!</v>
      </c>
      <c r="DC12" s="211" t="e">
        <f t="shared" si="20"/>
        <v>#REF!</v>
      </c>
      <c r="DD12" s="211" t="e">
        <f t="shared" si="20"/>
        <v>#REF!</v>
      </c>
      <c r="DE12" s="223" t="e">
        <f t="shared" si="20"/>
        <v>#REF!</v>
      </c>
      <c r="DF12" s="211" t="e">
        <f t="shared" si="20"/>
        <v>#REF!</v>
      </c>
      <c r="DG12" s="223" t="e">
        <f t="shared" si="20"/>
        <v>#REF!</v>
      </c>
      <c r="DH12" s="224" t="e">
        <f t="shared" si="20"/>
        <v>#REF!</v>
      </c>
      <c r="DI12" s="223" t="e">
        <f t="shared" si="20"/>
        <v>#REF!</v>
      </c>
      <c r="DJ12"/>
      <c r="DK12" s="15"/>
      <c r="DL12" s="44" t="e">
        <f t="shared" ref="DL12:DW13" si="21">CS12-H12</f>
        <v>#REF!</v>
      </c>
      <c r="DM12" s="44" t="e">
        <f t="shared" si="21"/>
        <v>#REF!</v>
      </c>
      <c r="DN12" s="44" t="e">
        <f t="shared" si="21"/>
        <v>#REF!</v>
      </c>
      <c r="DO12" s="44" t="e">
        <f t="shared" si="21"/>
        <v>#REF!</v>
      </c>
      <c r="DP12" s="44" t="e">
        <f t="shared" si="21"/>
        <v>#REF!</v>
      </c>
      <c r="DQ12" s="44" t="e">
        <f t="shared" si="21"/>
        <v>#REF!</v>
      </c>
      <c r="DR12" s="44" t="e">
        <f t="shared" si="21"/>
        <v>#REF!</v>
      </c>
      <c r="DS12" s="44" t="e">
        <f t="shared" si="21"/>
        <v>#REF!</v>
      </c>
      <c r="DT12" s="44" t="e">
        <f t="shared" si="21"/>
        <v>#REF!</v>
      </c>
      <c r="DU12" s="44" t="e">
        <f t="shared" si="21"/>
        <v>#REF!</v>
      </c>
      <c r="DV12" s="44" t="e">
        <f t="shared" si="21"/>
        <v>#REF!</v>
      </c>
      <c r="DW12" s="44" t="e">
        <f t="shared" si="21"/>
        <v>#REF!</v>
      </c>
      <c r="DX12" s="45" t="e">
        <f>SUM(DL12:DW12)</f>
        <v>#REF!</v>
      </c>
      <c r="DY12" s="44" t="e">
        <f>DF12-IF(PS_AnnualDetail,AG12,#REF!)</f>
        <v>#REF!</v>
      </c>
      <c r="DZ12" s="45" t="e">
        <f t="shared" ref="DZ12:EB13" si="22">DG12-AH12</f>
        <v>#REF!</v>
      </c>
      <c r="EA12" s="225" t="e">
        <f t="shared" si="22"/>
        <v>#REF!</v>
      </c>
      <c r="EB12" s="45" t="e">
        <f t="shared" si="22"/>
        <v>#REF!</v>
      </c>
      <c r="EC12"/>
    </row>
    <row r="13" spans="1:133" s="706" customFormat="1" ht="12.4" customHeight="1" x14ac:dyDescent="0.2">
      <c r="A13" s="716" t="s">
        <v>271</v>
      </c>
      <c r="B13" s="733"/>
      <c r="C13" s="719" t="str">
        <f>IF(C3&gt;0,C12/C3,"n/a")</f>
        <v>n/a</v>
      </c>
      <c r="D13" s="719" t="str">
        <f t="shared" ref="D13:G13" si="23">IF(D3&gt;0,D12/D3,"n/a")</f>
        <v>n/a</v>
      </c>
      <c r="E13" s="719" t="str">
        <f t="shared" si="23"/>
        <v>n/a</v>
      </c>
      <c r="F13" s="719" t="str">
        <f t="shared" si="23"/>
        <v>n/a</v>
      </c>
      <c r="G13" s="965" t="str">
        <f t="shared" si="23"/>
        <v>n/a</v>
      </c>
      <c r="H13" s="719" t="str">
        <f>IF(H3&gt;0,H12/H3,"n/a")</f>
        <v>n/a</v>
      </c>
      <c r="I13" s="719" t="str">
        <f t="shared" ref="I13:U13" si="24">IF(I3&gt;0,I12/I3,"n/a")</f>
        <v>n/a</v>
      </c>
      <c r="J13" s="719" t="str">
        <f t="shared" si="24"/>
        <v>n/a</v>
      </c>
      <c r="K13" s="719" t="str">
        <f t="shared" si="24"/>
        <v>n/a</v>
      </c>
      <c r="L13" s="719" t="str">
        <f t="shared" si="24"/>
        <v>n/a</v>
      </c>
      <c r="M13" s="719" t="str">
        <f t="shared" si="24"/>
        <v>n/a</v>
      </c>
      <c r="N13" s="719" t="str">
        <f t="shared" si="24"/>
        <v>n/a</v>
      </c>
      <c r="O13" s="719" t="str">
        <f t="shared" si="24"/>
        <v>n/a</v>
      </c>
      <c r="P13" s="719" t="str">
        <f t="shared" si="24"/>
        <v>n/a</v>
      </c>
      <c r="Q13" s="719" t="str">
        <f t="shared" si="24"/>
        <v>n/a</v>
      </c>
      <c r="R13" s="719" t="str">
        <f t="shared" si="24"/>
        <v>n/a</v>
      </c>
      <c r="S13" s="719" t="str">
        <f t="shared" si="24"/>
        <v>n/a</v>
      </c>
      <c r="T13" s="965" t="str">
        <f t="shared" ref="T13" si="25">IF(T3&gt;0,T12/T3,"n/a")</f>
        <v>n/a</v>
      </c>
      <c r="U13" s="719" t="str">
        <f t="shared" si="24"/>
        <v>n/a</v>
      </c>
      <c r="V13" s="719" t="str">
        <f t="shared" ref="V13" si="26">IF(V3&gt;0,V12/V3,"n/a")</f>
        <v>n/a</v>
      </c>
      <c r="W13" s="719">
        <f t="shared" ref="W13" si="27">IF(W3&gt;0,W12/W3,"n/a")</f>
        <v>0.91892670628489104</v>
      </c>
      <c r="X13" s="719">
        <f t="shared" ref="X13" si="28">IF(X3&gt;0,X12/X3,"n/a")</f>
        <v>0.9215443560271146</v>
      </c>
      <c r="Y13" s="719">
        <f t="shared" ref="Y13" si="29">IF(Y3&gt;0,Y12/Y3,"n/a")</f>
        <v>0.92317460317460309</v>
      </c>
      <c r="Z13" s="719">
        <f t="shared" ref="Z13" si="30">IF(Z3&gt;0,Z12/Z3,"n/a")</f>
        <v>0.9242630385487528</v>
      </c>
      <c r="AA13" s="719">
        <f t="shared" ref="AA13" si="31">IF(AA3&gt;0,AA12/AA3,"n/a")</f>
        <v>0.92514080901177675</v>
      </c>
      <c r="AB13" s="719">
        <f t="shared" ref="AB13" si="32">IF(AB3&gt;0,AB12/AB3,"n/a")</f>
        <v>0.92586367880485521</v>
      </c>
      <c r="AC13" s="719">
        <f t="shared" ref="AC13" si="33">IF(AC3&gt;0,AC12/AC3,"n/a")</f>
        <v>0.92646932646932656</v>
      </c>
      <c r="AD13" s="719">
        <f t="shared" ref="AD13" si="34">IF(AD3&gt;0,AD12/AD3,"n/a")</f>
        <v>0.92698412698412702</v>
      </c>
      <c r="AE13" s="719">
        <f t="shared" ref="AE13" si="35">IF(AE3&gt;0,AE12/AE3,"n/a")</f>
        <v>0.92742709486895536</v>
      </c>
      <c r="AF13" s="719">
        <f t="shared" ref="AF13" si="36">IF(AF3&gt;0,AF12/AF3,"n/a")</f>
        <v>0.92781228433402352</v>
      </c>
      <c r="AG13" s="965">
        <f t="shared" ref="AG13" si="37">IF(AG3&gt;0,AG12/AG3,"n/a")</f>
        <v>0.92390298529455106</v>
      </c>
      <c r="AH13" s="1020">
        <f t="shared" ref="AH13" si="38">IF(AH3&gt;0,AH12/AH3,"n/a")</f>
        <v>0.74054974338633384</v>
      </c>
      <c r="AI13" s="1020">
        <f t="shared" ref="AI13" si="39">IF(AI3&gt;0,AI12/AI3,"n/a")</f>
        <v>0.71330065578163138</v>
      </c>
      <c r="AJ13" s="1020">
        <f t="shared" ref="AJ13" si="40">IF(AJ3&gt;0,AJ12/AJ3,"n/a")</f>
        <v>0.7010230114251832</v>
      </c>
      <c r="AK13" s="1020">
        <f t="shared" ref="AK13" si="41">IF(AK3&gt;0,AK12/AK3,"n/a")</f>
        <v>0.69484364700605539</v>
      </c>
      <c r="AL13" s="1020">
        <f t="shared" ref="AL13" si="42">IF(AL3&gt;0,AL12/AL3,"n/a")</f>
        <v>0.69211533415767434</v>
      </c>
      <c r="AM13" s="1020">
        <f t="shared" ref="AM13" si="43">IF(AM3&gt;0,AM12/AM3,"n/a")</f>
        <v>0.69080531655672028</v>
      </c>
      <c r="AN13" s="1020">
        <f t="shared" ref="AN13" si="44">IF(AN3&gt;0,AN12/AN3,"n/a")</f>
        <v>0.68988142429648169</v>
      </c>
      <c r="AO13" s="1020">
        <f t="shared" ref="AO13" si="45">IF(AO3&gt;0,AO12/AO3,"n/a")</f>
        <v>0.68916438011690362</v>
      </c>
      <c r="CR13" s="733"/>
      <c r="CS13" s="718" t="e">
        <f t="shared" ref="CS13:DI13" si="46">IF(sales_actual&lt;&gt;0,(sales_actual-total_cost_of_sales_actual)/sales_actual,0)</f>
        <v>#REF!</v>
      </c>
      <c r="CT13" s="718" t="e">
        <f t="shared" si="46"/>
        <v>#REF!</v>
      </c>
      <c r="CU13" s="718" t="e">
        <f t="shared" si="46"/>
        <v>#REF!</v>
      </c>
      <c r="CV13" s="718" t="e">
        <f t="shared" si="46"/>
        <v>#REF!</v>
      </c>
      <c r="CW13" s="718" t="e">
        <f t="shared" si="46"/>
        <v>#REF!</v>
      </c>
      <c r="CX13" s="718" t="e">
        <f t="shared" si="46"/>
        <v>#REF!</v>
      </c>
      <c r="CY13" s="718" t="e">
        <f t="shared" si="46"/>
        <v>#REF!</v>
      </c>
      <c r="CZ13" s="718" t="e">
        <f t="shared" si="46"/>
        <v>#REF!</v>
      </c>
      <c r="DA13" s="718" t="e">
        <f t="shared" si="46"/>
        <v>#REF!</v>
      </c>
      <c r="DB13" s="718" t="e">
        <f t="shared" si="46"/>
        <v>#REF!</v>
      </c>
      <c r="DC13" s="718" t="e">
        <f t="shared" si="46"/>
        <v>#REF!</v>
      </c>
      <c r="DD13" s="718" t="e">
        <f t="shared" si="46"/>
        <v>#REF!</v>
      </c>
      <c r="DE13" s="721" t="e">
        <f t="shared" si="46"/>
        <v>#REF!</v>
      </c>
      <c r="DF13" s="718" t="e">
        <f t="shared" si="46"/>
        <v>#REF!</v>
      </c>
      <c r="DG13" s="721" t="e">
        <f t="shared" si="46"/>
        <v>#REF!</v>
      </c>
      <c r="DH13" s="722" t="e">
        <f t="shared" si="46"/>
        <v>#REF!</v>
      </c>
      <c r="DI13" s="721" t="e">
        <f t="shared" si="46"/>
        <v>#REF!</v>
      </c>
      <c r="DK13" s="734"/>
      <c r="DL13" s="724" t="e">
        <f t="shared" si="21"/>
        <v>#REF!</v>
      </c>
      <c r="DM13" s="724" t="e">
        <f t="shared" si="21"/>
        <v>#REF!</v>
      </c>
      <c r="DN13" s="724" t="e">
        <f t="shared" si="21"/>
        <v>#REF!</v>
      </c>
      <c r="DO13" s="724" t="e">
        <f t="shared" si="21"/>
        <v>#REF!</v>
      </c>
      <c r="DP13" s="724" t="e">
        <f t="shared" si="21"/>
        <v>#REF!</v>
      </c>
      <c r="DQ13" s="724" t="e">
        <f t="shared" si="21"/>
        <v>#REF!</v>
      </c>
      <c r="DR13" s="724" t="e">
        <f t="shared" si="21"/>
        <v>#REF!</v>
      </c>
      <c r="DS13" s="724" t="e">
        <f t="shared" si="21"/>
        <v>#REF!</v>
      </c>
      <c r="DT13" s="724" t="e">
        <f t="shared" si="21"/>
        <v>#REF!</v>
      </c>
      <c r="DU13" s="724" t="e">
        <f t="shared" si="21"/>
        <v>#REF!</v>
      </c>
      <c r="DV13" s="724" t="e">
        <f t="shared" si="21"/>
        <v>#REF!</v>
      </c>
      <c r="DW13" s="724" t="e">
        <f t="shared" si="21"/>
        <v>#REF!</v>
      </c>
      <c r="DX13" s="725" t="e">
        <f>SUM(DL13:DW13)</f>
        <v>#REF!</v>
      </c>
      <c r="DY13" s="724" t="e">
        <f>DF13-IF(PS_AnnualDetail,AG13,#REF!)</f>
        <v>#REF!</v>
      </c>
      <c r="DZ13" s="725" t="e">
        <f t="shared" si="22"/>
        <v>#REF!</v>
      </c>
      <c r="EA13" s="726" t="e">
        <f t="shared" si="22"/>
        <v>#REF!</v>
      </c>
      <c r="EB13" s="725" t="e">
        <f t="shared" si="22"/>
        <v>#REF!</v>
      </c>
    </row>
    <row r="14" spans="1:133" ht="12.4" customHeight="1" x14ac:dyDescent="0.2">
      <c r="A14" s="53"/>
      <c r="B14" s="108"/>
      <c r="C14" s="226"/>
      <c r="D14" s="226"/>
      <c r="E14" s="226"/>
      <c r="F14" s="226"/>
      <c r="G14" s="57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7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7"/>
      <c r="AH14" s="1023"/>
      <c r="AI14" s="1023"/>
      <c r="AJ14" s="1023"/>
      <c r="AK14" s="1023"/>
      <c r="AL14" s="1023"/>
      <c r="AM14" s="1023"/>
      <c r="AN14" s="1023"/>
      <c r="AO14" s="1023"/>
      <c r="AP14"/>
      <c r="AQ14"/>
      <c r="CR14" s="108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7"/>
      <c r="DF14" s="226"/>
      <c r="DG14" s="227"/>
      <c r="DH14" s="228"/>
      <c r="DI14" s="227"/>
      <c r="DJ14"/>
      <c r="DK14" s="229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1"/>
      <c r="DY14" s="230"/>
      <c r="DZ14" s="231"/>
      <c r="EA14" s="232"/>
      <c r="EB14" s="231"/>
      <c r="EC14"/>
    </row>
    <row r="15" spans="1:133" ht="16.899999999999999" customHeight="1" thickBot="1" x14ac:dyDescent="0.25">
      <c r="A15" s="25" t="s">
        <v>232</v>
      </c>
      <c r="B15" s="74"/>
      <c r="C15" s="698">
        <f>C2</f>
        <v>41153</v>
      </c>
      <c r="D15" s="698">
        <f t="shared" ref="D15:AO15" si="47">D2</f>
        <v>41183</v>
      </c>
      <c r="E15" s="698">
        <f t="shared" si="47"/>
        <v>41214</v>
      </c>
      <c r="F15" s="698">
        <f t="shared" si="47"/>
        <v>41244</v>
      </c>
      <c r="G15" s="907">
        <f t="shared" si="47"/>
        <v>2012</v>
      </c>
      <c r="H15" s="698">
        <f t="shared" si="47"/>
        <v>41275</v>
      </c>
      <c r="I15" s="698">
        <f t="shared" ref="I15:S15" si="48">I2</f>
        <v>41306</v>
      </c>
      <c r="J15" s="698">
        <f t="shared" si="48"/>
        <v>41334</v>
      </c>
      <c r="K15" s="698">
        <f t="shared" si="48"/>
        <v>41365</v>
      </c>
      <c r="L15" s="698">
        <f t="shared" si="48"/>
        <v>41395</v>
      </c>
      <c r="M15" s="698">
        <f t="shared" si="48"/>
        <v>41426</v>
      </c>
      <c r="N15" s="698">
        <f t="shared" si="48"/>
        <v>41456</v>
      </c>
      <c r="O15" s="698">
        <f t="shared" si="48"/>
        <v>41487</v>
      </c>
      <c r="P15" s="698">
        <f t="shared" si="48"/>
        <v>41518</v>
      </c>
      <c r="Q15" s="698">
        <f t="shared" si="48"/>
        <v>41548</v>
      </c>
      <c r="R15" s="698">
        <f t="shared" si="48"/>
        <v>41579</v>
      </c>
      <c r="S15" s="698">
        <f t="shared" si="48"/>
        <v>41609</v>
      </c>
      <c r="T15" s="907">
        <f t="shared" si="47"/>
        <v>2013</v>
      </c>
      <c r="U15" s="698">
        <f t="shared" si="47"/>
        <v>41640</v>
      </c>
      <c r="V15" s="698">
        <f t="shared" ref="V15:AF15" si="49">V2</f>
        <v>41671</v>
      </c>
      <c r="W15" s="698">
        <f t="shared" si="49"/>
        <v>41699</v>
      </c>
      <c r="X15" s="698">
        <f t="shared" si="49"/>
        <v>41730</v>
      </c>
      <c r="Y15" s="698">
        <f t="shared" si="49"/>
        <v>41760</v>
      </c>
      <c r="Z15" s="698">
        <f t="shared" si="49"/>
        <v>41791</v>
      </c>
      <c r="AA15" s="698">
        <f t="shared" si="49"/>
        <v>41821</v>
      </c>
      <c r="AB15" s="698">
        <f t="shared" si="49"/>
        <v>41852</v>
      </c>
      <c r="AC15" s="698">
        <f t="shared" si="49"/>
        <v>41883</v>
      </c>
      <c r="AD15" s="698">
        <f t="shared" si="49"/>
        <v>41913</v>
      </c>
      <c r="AE15" s="698">
        <f t="shared" si="49"/>
        <v>41944</v>
      </c>
      <c r="AF15" s="698">
        <f t="shared" si="49"/>
        <v>41974</v>
      </c>
      <c r="AG15" s="966">
        <f t="shared" si="47"/>
        <v>2014</v>
      </c>
      <c r="AH15" s="1024">
        <f t="shared" si="47"/>
        <v>2015</v>
      </c>
      <c r="AI15" s="1024">
        <f t="shared" si="47"/>
        <v>2016</v>
      </c>
      <c r="AJ15" s="1024">
        <f t="shared" si="47"/>
        <v>2017</v>
      </c>
      <c r="AK15" s="1024">
        <f t="shared" si="47"/>
        <v>2018</v>
      </c>
      <c r="AL15" s="1024">
        <f t="shared" si="47"/>
        <v>2019</v>
      </c>
      <c r="AM15" s="1024">
        <f t="shared" si="47"/>
        <v>2020</v>
      </c>
      <c r="AN15" s="1024">
        <f t="shared" si="47"/>
        <v>2021</v>
      </c>
      <c r="AO15" s="1024">
        <f t="shared" si="47"/>
        <v>2022</v>
      </c>
      <c r="AP15"/>
      <c r="AQ15"/>
      <c r="CR15" s="7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233"/>
      <c r="DF15" s="84"/>
      <c r="DG15" s="59"/>
      <c r="DH15" s="234"/>
      <c r="DI15" s="59"/>
      <c r="DJ15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236"/>
      <c r="DY15" s="74"/>
      <c r="DZ15" s="237"/>
      <c r="EA15" s="238"/>
      <c r="EB15" s="237"/>
      <c r="EC15"/>
    </row>
    <row r="16" spans="1:133" ht="12.4" customHeight="1" x14ac:dyDescent="0.2">
      <c r="A16" s="705" t="s">
        <v>74</v>
      </c>
      <c r="B16" s="654">
        <v>0</v>
      </c>
      <c r="C16" s="696">
        <f>Calculations!C10</f>
        <v>0</v>
      </c>
      <c r="D16" s="696">
        <f>Calculations!D10</f>
        <v>0</v>
      </c>
      <c r="E16" s="696">
        <f>Calculations!E10</f>
        <v>0</v>
      </c>
      <c r="F16" s="696">
        <f>Calculations!F10</f>
        <v>0</v>
      </c>
      <c r="G16" s="814">
        <f>SUM(C16:F16)</f>
        <v>0</v>
      </c>
      <c r="H16" s="696">
        <f>Calculations!H10</f>
        <v>10000</v>
      </c>
      <c r="I16" s="696">
        <f>Calculations!I10</f>
        <v>10000</v>
      </c>
      <c r="J16" s="696">
        <f>Calculations!J10</f>
        <v>10000</v>
      </c>
      <c r="K16" s="696">
        <f>Calculations!K10</f>
        <v>10000</v>
      </c>
      <c r="L16" s="696">
        <f>Calculations!L10</f>
        <v>10000</v>
      </c>
      <c r="M16" s="696">
        <f>Calculations!M10</f>
        <v>10000</v>
      </c>
      <c r="N16" s="696">
        <f>Calculations!N10</f>
        <v>10000</v>
      </c>
      <c r="O16" s="696">
        <f>Calculations!O10</f>
        <v>10000</v>
      </c>
      <c r="P16" s="696">
        <f>Calculations!P10</f>
        <v>10000</v>
      </c>
      <c r="Q16" s="696">
        <f>Calculations!Q10</f>
        <v>10000</v>
      </c>
      <c r="R16" s="696">
        <f>Calculations!R10</f>
        <v>10000</v>
      </c>
      <c r="S16" s="696">
        <f>Calculations!S10</f>
        <v>10000</v>
      </c>
      <c r="T16" s="814">
        <f t="shared" ref="T16:T21" si="50">SUM(H16:S16)</f>
        <v>120000</v>
      </c>
      <c r="U16" s="696">
        <f>Calculations!U10</f>
        <v>16666.666666666668</v>
      </c>
      <c r="V16" s="696">
        <f>Calculations!V10</f>
        <v>16666.666666666668</v>
      </c>
      <c r="W16" s="696">
        <f>Calculations!W10</f>
        <v>16666.666666666668</v>
      </c>
      <c r="X16" s="696">
        <f>Calculations!X10</f>
        <v>16666.666666666668</v>
      </c>
      <c r="Y16" s="696">
        <f>Calculations!Y10</f>
        <v>16666.666666666668</v>
      </c>
      <c r="Z16" s="696">
        <f>Calculations!Z10</f>
        <v>16666.666666666668</v>
      </c>
      <c r="AA16" s="696">
        <f>Calculations!AA10</f>
        <v>16666.666666666668</v>
      </c>
      <c r="AB16" s="696">
        <f>Calculations!AB10</f>
        <v>16666.666666666668</v>
      </c>
      <c r="AC16" s="696">
        <f>Calculations!AC10</f>
        <v>16666.666666666668</v>
      </c>
      <c r="AD16" s="696">
        <f>Calculations!AD10</f>
        <v>16666.666666666668</v>
      </c>
      <c r="AE16" s="696">
        <f>Calculations!AE10</f>
        <v>16666.666666666668</v>
      </c>
      <c r="AF16" s="696">
        <f>Calculations!AF10</f>
        <v>16666.666666666668</v>
      </c>
      <c r="AG16" s="814">
        <f>SUM(U16:AF16)</f>
        <v>199999.99999999997</v>
      </c>
      <c r="AH16" s="979">
        <f>Calculations!AH10</f>
        <v>200000</v>
      </c>
      <c r="AI16" s="979">
        <f>Calculations!AI10</f>
        <v>200000</v>
      </c>
      <c r="AJ16" s="979">
        <f>Calculations!AJ10</f>
        <v>200000</v>
      </c>
      <c r="AK16" s="979">
        <f>Calculations!AK10</f>
        <v>200000</v>
      </c>
      <c r="AL16" s="979">
        <f>Calculations!AL10</f>
        <v>200000</v>
      </c>
      <c r="AM16" s="979">
        <f>Calculations!AM10</f>
        <v>200000</v>
      </c>
      <c r="AN16" s="979">
        <f>Calculations!AN10</f>
        <v>200000</v>
      </c>
      <c r="AO16" s="979">
        <f>Calculations!AO10</f>
        <v>200000</v>
      </c>
      <c r="AP16"/>
      <c r="AQ16"/>
      <c r="CR16" s="498"/>
      <c r="CS16" s="482">
        <f t="shared" ref="CS16:DD19" si="51">H16</f>
        <v>10000</v>
      </c>
      <c r="CT16" s="482">
        <f t="shared" si="51"/>
        <v>10000</v>
      </c>
      <c r="CU16" s="482">
        <f t="shared" si="51"/>
        <v>10000</v>
      </c>
      <c r="CV16" s="482">
        <f t="shared" si="51"/>
        <v>10000</v>
      </c>
      <c r="CW16" s="482">
        <f t="shared" si="51"/>
        <v>10000</v>
      </c>
      <c r="CX16" s="482">
        <f t="shared" si="51"/>
        <v>10000</v>
      </c>
      <c r="CY16" s="482">
        <f t="shared" si="51"/>
        <v>10000</v>
      </c>
      <c r="CZ16" s="482">
        <f t="shared" si="51"/>
        <v>10000</v>
      </c>
      <c r="DA16" s="482">
        <f t="shared" si="51"/>
        <v>10000</v>
      </c>
      <c r="DB16" s="482">
        <f t="shared" si="51"/>
        <v>10000</v>
      </c>
      <c r="DC16" s="482">
        <f t="shared" si="51"/>
        <v>10000</v>
      </c>
      <c r="DD16" s="482">
        <f t="shared" si="51"/>
        <v>10000</v>
      </c>
      <c r="DE16" s="103">
        <f>SUM(CS16:DD16)</f>
        <v>120000</v>
      </c>
      <c r="DF16" s="483" t="e">
        <f>IF(PS_AnnualDetail,AG16,#REF!)</f>
        <v>#REF!</v>
      </c>
      <c r="DG16" s="484">
        <f t="shared" ref="DG16:DI19" si="52">AH16</f>
        <v>200000</v>
      </c>
      <c r="DH16" s="483">
        <f t="shared" si="52"/>
        <v>200000</v>
      </c>
      <c r="DI16" s="484">
        <f t="shared" si="52"/>
        <v>200000</v>
      </c>
      <c r="DJ16"/>
      <c r="DK16" s="245"/>
      <c r="DL16" s="93">
        <f t="shared" ref="DL16:DW19" si="53">H16-CS16</f>
        <v>0</v>
      </c>
      <c r="DM16" s="93">
        <f t="shared" si="53"/>
        <v>0</v>
      </c>
      <c r="DN16" s="93">
        <f t="shared" si="53"/>
        <v>0</v>
      </c>
      <c r="DO16" s="93">
        <f t="shared" si="53"/>
        <v>0</v>
      </c>
      <c r="DP16" s="93">
        <f t="shared" si="53"/>
        <v>0</v>
      </c>
      <c r="DQ16" s="93">
        <f t="shared" si="53"/>
        <v>0</v>
      </c>
      <c r="DR16" s="93">
        <f t="shared" si="53"/>
        <v>0</v>
      </c>
      <c r="DS16" s="93">
        <f t="shared" si="53"/>
        <v>0</v>
      </c>
      <c r="DT16" s="93">
        <f t="shared" si="53"/>
        <v>0</v>
      </c>
      <c r="DU16" s="93">
        <f t="shared" si="53"/>
        <v>0</v>
      </c>
      <c r="DV16" s="93">
        <f t="shared" si="53"/>
        <v>0</v>
      </c>
      <c r="DW16" s="93">
        <f t="shared" si="53"/>
        <v>0</v>
      </c>
      <c r="DX16" s="94">
        <f>SUM(DL16:DW16)</f>
        <v>0</v>
      </c>
      <c r="DY16" s="215" t="e">
        <f>IF(PS_AnnualDetail,AG16,#REF!)-DF16</f>
        <v>#REF!</v>
      </c>
      <c r="DZ16" s="94">
        <f t="shared" ref="DZ16:EB19" si="54">AH16-DG16</f>
        <v>0</v>
      </c>
      <c r="EA16" s="93">
        <f t="shared" si="54"/>
        <v>0</v>
      </c>
      <c r="EB16" s="94">
        <f t="shared" si="54"/>
        <v>0</v>
      </c>
      <c r="EC16"/>
    </row>
    <row r="17" spans="1:133" ht="12.4" customHeight="1" x14ac:dyDescent="0.2">
      <c r="A17" s="705" t="s">
        <v>159</v>
      </c>
      <c r="B17" s="654">
        <v>0.15</v>
      </c>
      <c r="C17" s="696">
        <f>Calculations!C15</f>
        <v>0</v>
      </c>
      <c r="D17" s="696">
        <f>Calculations!D15</f>
        <v>0</v>
      </c>
      <c r="E17" s="696">
        <f>Calculations!E15</f>
        <v>0</v>
      </c>
      <c r="F17" s="696">
        <f>Calculations!F15</f>
        <v>0</v>
      </c>
      <c r="G17" s="814">
        <f t="shared" ref="G17:G35" si="55">SUM(C17:F17)</f>
        <v>0</v>
      </c>
      <c r="H17" s="696">
        <f>Calculations!H15</f>
        <v>0</v>
      </c>
      <c r="I17" s="696">
        <f>Calculations!I15</f>
        <v>0</v>
      </c>
      <c r="J17" s="696">
        <f>Calculations!J15</f>
        <v>0</v>
      </c>
      <c r="K17" s="696">
        <f>Calculations!K15</f>
        <v>0</v>
      </c>
      <c r="L17" s="696">
        <f>Calculations!L15</f>
        <v>0</v>
      </c>
      <c r="M17" s="696">
        <f>Calculations!M15</f>
        <v>0</v>
      </c>
      <c r="N17" s="696">
        <f>Calculations!N15</f>
        <v>0</v>
      </c>
      <c r="O17" s="696">
        <f>Calculations!O15</f>
        <v>0</v>
      </c>
      <c r="P17" s="696">
        <f>Calculations!P15</f>
        <v>0</v>
      </c>
      <c r="Q17" s="696">
        <f>Calculations!Q15</f>
        <v>0</v>
      </c>
      <c r="R17" s="696">
        <f>Calculations!R15</f>
        <v>0</v>
      </c>
      <c r="S17" s="696">
        <f>Calculations!S15</f>
        <v>0</v>
      </c>
      <c r="T17" s="814">
        <f t="shared" si="50"/>
        <v>0</v>
      </c>
      <c r="U17" s="696">
        <f>Calculations!U15</f>
        <v>25000</v>
      </c>
      <c r="V17" s="696">
        <f>Calculations!V15</f>
        <v>25000</v>
      </c>
      <c r="W17" s="696">
        <f>Calculations!W15</f>
        <v>25000</v>
      </c>
      <c r="X17" s="696">
        <f>Calculations!X15</f>
        <v>25000</v>
      </c>
      <c r="Y17" s="696">
        <f>Calculations!Y15</f>
        <v>25000</v>
      </c>
      <c r="Z17" s="696">
        <f>Calculations!Z15</f>
        <v>25000</v>
      </c>
      <c r="AA17" s="696">
        <f>Calculations!AA15</f>
        <v>25000</v>
      </c>
      <c r="AB17" s="696">
        <f>Calculations!AB15</f>
        <v>25000</v>
      </c>
      <c r="AC17" s="696">
        <f>Calculations!AC15</f>
        <v>25000</v>
      </c>
      <c r="AD17" s="696">
        <f>Calculations!AD15</f>
        <v>25000</v>
      </c>
      <c r="AE17" s="696">
        <f>Calculations!AE15</f>
        <v>25000</v>
      </c>
      <c r="AF17" s="696">
        <f>Calculations!AF15</f>
        <v>25000</v>
      </c>
      <c r="AG17" s="814">
        <f t="shared" ref="AG17:AG35" si="56">SUM(U17:AF17)</f>
        <v>300000</v>
      </c>
      <c r="AH17" s="979">
        <f>Calculations!AH15</f>
        <v>300000</v>
      </c>
      <c r="AI17" s="979">
        <f>Calculations!AI15</f>
        <v>300000</v>
      </c>
      <c r="AJ17" s="979">
        <f>Calculations!AJ15</f>
        <v>300000</v>
      </c>
      <c r="AK17" s="979">
        <f>Calculations!AK15</f>
        <v>300000</v>
      </c>
      <c r="AL17" s="979">
        <f>Calculations!AL15</f>
        <v>300000</v>
      </c>
      <c r="AM17" s="979">
        <f>Calculations!AM15</f>
        <v>300000</v>
      </c>
      <c r="AN17" s="979">
        <f>Calculations!AN15</f>
        <v>300000</v>
      </c>
      <c r="AO17" s="979">
        <f>Calculations!AO15</f>
        <v>300000</v>
      </c>
      <c r="AP17"/>
      <c r="AQ17"/>
      <c r="CR17" s="498"/>
      <c r="CS17" s="482">
        <f t="shared" si="51"/>
        <v>0</v>
      </c>
      <c r="CT17" s="482">
        <f t="shared" si="51"/>
        <v>0</v>
      </c>
      <c r="CU17" s="482">
        <f t="shared" si="51"/>
        <v>0</v>
      </c>
      <c r="CV17" s="482">
        <f t="shared" si="51"/>
        <v>0</v>
      </c>
      <c r="CW17" s="482">
        <f t="shared" si="51"/>
        <v>0</v>
      </c>
      <c r="CX17" s="482">
        <f t="shared" si="51"/>
        <v>0</v>
      </c>
      <c r="CY17" s="482">
        <f t="shared" si="51"/>
        <v>0</v>
      </c>
      <c r="CZ17" s="482">
        <f t="shared" si="51"/>
        <v>0</v>
      </c>
      <c r="DA17" s="482">
        <f t="shared" si="51"/>
        <v>0</v>
      </c>
      <c r="DB17" s="482">
        <f t="shared" si="51"/>
        <v>0</v>
      </c>
      <c r="DC17" s="482">
        <f t="shared" si="51"/>
        <v>0</v>
      </c>
      <c r="DD17" s="482">
        <f t="shared" si="51"/>
        <v>0</v>
      </c>
      <c r="DE17" s="103">
        <f>SUM(CS17:DD17)</f>
        <v>0</v>
      </c>
      <c r="DF17" s="483" t="e">
        <f>IF(PS_AnnualDetail,AG17,#REF!)</f>
        <v>#REF!</v>
      </c>
      <c r="DG17" s="484">
        <f t="shared" si="52"/>
        <v>300000</v>
      </c>
      <c r="DH17" s="483">
        <f t="shared" si="52"/>
        <v>300000</v>
      </c>
      <c r="DI17" s="484">
        <f t="shared" si="52"/>
        <v>300000</v>
      </c>
      <c r="DJ17"/>
      <c r="DK17" s="245"/>
      <c r="DL17" s="93">
        <f t="shared" si="53"/>
        <v>0</v>
      </c>
      <c r="DM17" s="93">
        <f t="shared" si="53"/>
        <v>0</v>
      </c>
      <c r="DN17" s="93">
        <f t="shared" si="53"/>
        <v>0</v>
      </c>
      <c r="DO17" s="93">
        <f t="shared" si="53"/>
        <v>0</v>
      </c>
      <c r="DP17" s="93">
        <f t="shared" si="53"/>
        <v>0</v>
      </c>
      <c r="DQ17" s="93">
        <f t="shared" si="53"/>
        <v>0</v>
      </c>
      <c r="DR17" s="93">
        <f t="shared" si="53"/>
        <v>0</v>
      </c>
      <c r="DS17" s="93">
        <f t="shared" si="53"/>
        <v>0</v>
      </c>
      <c r="DT17" s="93">
        <f t="shared" si="53"/>
        <v>0</v>
      </c>
      <c r="DU17" s="93">
        <f t="shared" si="53"/>
        <v>0</v>
      </c>
      <c r="DV17" s="93">
        <f t="shared" si="53"/>
        <v>0</v>
      </c>
      <c r="DW17" s="93">
        <f t="shared" si="53"/>
        <v>0</v>
      </c>
      <c r="DX17" s="94">
        <f>SUM(DL17:DW17)</f>
        <v>0</v>
      </c>
      <c r="DY17" s="215" t="e">
        <f>IF(PS_AnnualDetail,AG17,#REF!)-DF17</f>
        <v>#REF!</v>
      </c>
      <c r="DZ17" s="94">
        <f t="shared" si="54"/>
        <v>0</v>
      </c>
      <c r="EA17" s="93">
        <f t="shared" si="54"/>
        <v>0</v>
      </c>
      <c r="EB17" s="94">
        <f t="shared" si="54"/>
        <v>0</v>
      </c>
      <c r="EC17"/>
    </row>
    <row r="18" spans="1:133" ht="12.4" customHeight="1" x14ac:dyDescent="0.2">
      <c r="A18" s="705" t="s">
        <v>214</v>
      </c>
      <c r="B18" s="654">
        <v>0.15</v>
      </c>
      <c r="C18" s="696">
        <f>Calculations!C20</f>
        <v>0</v>
      </c>
      <c r="D18" s="696">
        <f>Calculations!D20</f>
        <v>0</v>
      </c>
      <c r="E18" s="696">
        <f>Calculations!E20</f>
        <v>0</v>
      </c>
      <c r="F18" s="696">
        <f>Calculations!F20</f>
        <v>0</v>
      </c>
      <c r="G18" s="814">
        <f t="shared" si="55"/>
        <v>0</v>
      </c>
      <c r="H18" s="696">
        <f>Calculations!H20</f>
        <v>0</v>
      </c>
      <c r="I18" s="696">
        <f>Calculations!I20</f>
        <v>0</v>
      </c>
      <c r="J18" s="696">
        <f>Calculations!J20</f>
        <v>0</v>
      </c>
      <c r="K18" s="696">
        <f>Calculations!K20</f>
        <v>0</v>
      </c>
      <c r="L18" s="696">
        <f>Calculations!L20</f>
        <v>0</v>
      </c>
      <c r="M18" s="696">
        <f>Calculations!M20</f>
        <v>0</v>
      </c>
      <c r="N18" s="696">
        <f>Calculations!N20</f>
        <v>16666.666666666668</v>
      </c>
      <c r="O18" s="696">
        <f>Calculations!O20</f>
        <v>16666.666666666668</v>
      </c>
      <c r="P18" s="696">
        <f>Calculations!P20</f>
        <v>16666.666666666668</v>
      </c>
      <c r="Q18" s="696">
        <f>Calculations!Q20</f>
        <v>16666.666666666668</v>
      </c>
      <c r="R18" s="696">
        <f>Calculations!R20</f>
        <v>16666.666666666668</v>
      </c>
      <c r="S18" s="696">
        <f>Calculations!S20</f>
        <v>16666.666666666668</v>
      </c>
      <c r="T18" s="814">
        <f t="shared" si="50"/>
        <v>100000.00000000001</v>
      </c>
      <c r="U18" s="696">
        <f>Calculations!U20</f>
        <v>25000</v>
      </c>
      <c r="V18" s="696">
        <f>Calculations!V20</f>
        <v>25000</v>
      </c>
      <c r="W18" s="696">
        <f>Calculations!W20</f>
        <v>25000</v>
      </c>
      <c r="X18" s="696">
        <f>Calculations!X20</f>
        <v>25000</v>
      </c>
      <c r="Y18" s="696">
        <f>Calculations!Y20</f>
        <v>25000</v>
      </c>
      <c r="Z18" s="696">
        <f>Calculations!Z20</f>
        <v>25000</v>
      </c>
      <c r="AA18" s="696">
        <f>Calculations!AA20</f>
        <v>25000</v>
      </c>
      <c r="AB18" s="696">
        <f>Calculations!AB20</f>
        <v>25000</v>
      </c>
      <c r="AC18" s="696">
        <f>Calculations!AC20</f>
        <v>25000</v>
      </c>
      <c r="AD18" s="696">
        <f>Calculations!AD20</f>
        <v>25000</v>
      </c>
      <c r="AE18" s="696">
        <f>Calculations!AE20</f>
        <v>25000</v>
      </c>
      <c r="AF18" s="696">
        <f>Calculations!AF20</f>
        <v>25000</v>
      </c>
      <c r="AG18" s="814">
        <f t="shared" si="56"/>
        <v>300000</v>
      </c>
      <c r="AH18" s="979">
        <f>Calculations!AH20</f>
        <v>500000</v>
      </c>
      <c r="AI18" s="979">
        <f>Calculations!AI20</f>
        <v>700000</v>
      </c>
      <c r="AJ18" s="979">
        <f>Calculations!AJ20</f>
        <v>900000</v>
      </c>
      <c r="AK18" s="979">
        <f>Calculations!AK20</f>
        <v>1100000</v>
      </c>
      <c r="AL18" s="979">
        <f>Calculations!AL20</f>
        <v>1300000</v>
      </c>
      <c r="AM18" s="979">
        <f>Calculations!AM20</f>
        <v>1500000</v>
      </c>
      <c r="AN18" s="979">
        <f>Calculations!AN20</f>
        <v>1700000</v>
      </c>
      <c r="AO18" s="979">
        <f>Calculations!AO20</f>
        <v>1900000</v>
      </c>
      <c r="AP18"/>
      <c r="AQ18"/>
      <c r="CR18" s="498"/>
      <c r="CS18" s="482">
        <f t="shared" si="51"/>
        <v>0</v>
      </c>
      <c r="CT18" s="482">
        <f t="shared" si="51"/>
        <v>0</v>
      </c>
      <c r="CU18" s="482">
        <f t="shared" si="51"/>
        <v>0</v>
      </c>
      <c r="CV18" s="482">
        <f t="shared" si="51"/>
        <v>0</v>
      </c>
      <c r="CW18" s="482">
        <f t="shared" si="51"/>
        <v>0</v>
      </c>
      <c r="CX18" s="482">
        <f t="shared" si="51"/>
        <v>0</v>
      </c>
      <c r="CY18" s="482">
        <f t="shared" si="51"/>
        <v>16666.666666666668</v>
      </c>
      <c r="CZ18" s="482">
        <f t="shared" si="51"/>
        <v>16666.666666666668</v>
      </c>
      <c r="DA18" s="482">
        <f t="shared" si="51"/>
        <v>16666.666666666668</v>
      </c>
      <c r="DB18" s="482">
        <f t="shared" si="51"/>
        <v>16666.666666666668</v>
      </c>
      <c r="DC18" s="482">
        <f t="shared" si="51"/>
        <v>16666.666666666668</v>
      </c>
      <c r="DD18" s="482">
        <f t="shared" si="51"/>
        <v>16666.666666666668</v>
      </c>
      <c r="DE18" s="103">
        <f>SUM(CS18:DD18)</f>
        <v>100000.00000000001</v>
      </c>
      <c r="DF18" s="483" t="e">
        <f>IF(PS_AnnualDetail,AG18,#REF!)</f>
        <v>#REF!</v>
      </c>
      <c r="DG18" s="484">
        <f t="shared" si="52"/>
        <v>500000</v>
      </c>
      <c r="DH18" s="483">
        <f t="shared" si="52"/>
        <v>700000</v>
      </c>
      <c r="DI18" s="484">
        <f t="shared" si="52"/>
        <v>900000</v>
      </c>
      <c r="DJ18"/>
      <c r="DK18" s="245"/>
      <c r="DL18" s="93">
        <f t="shared" si="53"/>
        <v>0</v>
      </c>
      <c r="DM18" s="93">
        <f t="shared" si="53"/>
        <v>0</v>
      </c>
      <c r="DN18" s="93">
        <f t="shared" si="53"/>
        <v>0</v>
      </c>
      <c r="DO18" s="93">
        <f t="shared" si="53"/>
        <v>0</v>
      </c>
      <c r="DP18" s="93">
        <f t="shared" si="53"/>
        <v>0</v>
      </c>
      <c r="DQ18" s="93">
        <f t="shared" si="53"/>
        <v>0</v>
      </c>
      <c r="DR18" s="93">
        <f t="shared" si="53"/>
        <v>0</v>
      </c>
      <c r="DS18" s="93">
        <f t="shared" si="53"/>
        <v>0</v>
      </c>
      <c r="DT18" s="93">
        <f t="shared" si="53"/>
        <v>0</v>
      </c>
      <c r="DU18" s="93">
        <f t="shared" si="53"/>
        <v>0</v>
      </c>
      <c r="DV18" s="93">
        <f t="shared" si="53"/>
        <v>0</v>
      </c>
      <c r="DW18" s="93">
        <f t="shared" si="53"/>
        <v>0</v>
      </c>
      <c r="DX18" s="94">
        <f>SUM(DL18:DW18)</f>
        <v>0</v>
      </c>
      <c r="DY18" s="215" t="e">
        <f>IF(PS_AnnualDetail,AG18,#REF!)-DF18</f>
        <v>#REF!</v>
      </c>
      <c r="DZ18" s="94">
        <f t="shared" si="54"/>
        <v>0</v>
      </c>
      <c r="EA18" s="93">
        <f t="shared" si="54"/>
        <v>0</v>
      </c>
      <c r="EB18" s="94">
        <f t="shared" si="54"/>
        <v>0</v>
      </c>
      <c r="EC18"/>
    </row>
    <row r="19" spans="1:133" ht="12.4" customHeight="1" thickBot="1" x14ac:dyDescent="0.25">
      <c r="A19" s="705" t="s">
        <v>85</v>
      </c>
      <c r="B19" s="661">
        <v>0</v>
      </c>
      <c r="C19" s="696">
        <f>Calculations!C25</f>
        <v>0</v>
      </c>
      <c r="D19" s="696">
        <f>Calculations!D25</f>
        <v>0</v>
      </c>
      <c r="E19" s="696">
        <f>Calculations!E25</f>
        <v>0</v>
      </c>
      <c r="F19" s="696">
        <f>Calculations!F25</f>
        <v>0</v>
      </c>
      <c r="G19" s="814">
        <f t="shared" si="55"/>
        <v>0</v>
      </c>
      <c r="H19" s="696">
        <f>Calculations!H25</f>
        <v>4166.666666666667</v>
      </c>
      <c r="I19" s="696">
        <f>Calculations!I25</f>
        <v>4166.666666666667</v>
      </c>
      <c r="J19" s="696">
        <f>Calculations!J25</f>
        <v>4166.666666666667</v>
      </c>
      <c r="K19" s="696">
        <f>Calculations!K25</f>
        <v>4166.666666666667</v>
      </c>
      <c r="L19" s="696">
        <f>Calculations!L25</f>
        <v>4166.666666666667</v>
      </c>
      <c r="M19" s="696">
        <f>Calculations!M25</f>
        <v>4166.666666666667</v>
      </c>
      <c r="N19" s="696">
        <f>Calculations!N25</f>
        <v>8333.3333333333339</v>
      </c>
      <c r="O19" s="696">
        <f>Calculations!O25</f>
        <v>8333.3333333333339</v>
      </c>
      <c r="P19" s="696">
        <f>Calculations!P25</f>
        <v>8333.3333333333339</v>
      </c>
      <c r="Q19" s="696">
        <f>Calculations!Q25</f>
        <v>8333.3333333333339</v>
      </c>
      <c r="R19" s="696">
        <f>Calculations!R25</f>
        <v>8333.3333333333339</v>
      </c>
      <c r="S19" s="696">
        <f>Calculations!S25</f>
        <v>8333.3333333333339</v>
      </c>
      <c r="T19" s="814">
        <f t="shared" si="50"/>
        <v>75000</v>
      </c>
      <c r="U19" s="696">
        <f>Calculations!U25</f>
        <v>8333.3333333333339</v>
      </c>
      <c r="V19" s="696">
        <f>Calculations!V25</f>
        <v>8333.3333333333339</v>
      </c>
      <c r="W19" s="696">
        <f>Calculations!W25</f>
        <v>8333.3333333333339</v>
      </c>
      <c r="X19" s="696">
        <f>Calculations!X25</f>
        <v>8333.3333333333339</v>
      </c>
      <c r="Y19" s="696">
        <f>Calculations!Y25</f>
        <v>8333.3333333333339</v>
      </c>
      <c r="Z19" s="696">
        <f>Calculations!Z25</f>
        <v>8333.3333333333339</v>
      </c>
      <c r="AA19" s="696">
        <f>Calculations!AA25</f>
        <v>12500</v>
      </c>
      <c r="AB19" s="696">
        <f>Calculations!AB25</f>
        <v>12500</v>
      </c>
      <c r="AC19" s="696">
        <f>Calculations!AC25</f>
        <v>12500</v>
      </c>
      <c r="AD19" s="696">
        <f>Calculations!AD25</f>
        <v>12500</v>
      </c>
      <c r="AE19" s="696">
        <f>Calculations!AE25</f>
        <v>12500</v>
      </c>
      <c r="AF19" s="696">
        <f>Calculations!AF25</f>
        <v>12500</v>
      </c>
      <c r="AG19" s="814">
        <f t="shared" si="56"/>
        <v>125000</v>
      </c>
      <c r="AH19" s="979">
        <f>Calculations!AH25</f>
        <v>250000</v>
      </c>
      <c r="AI19" s="979">
        <f>Calculations!AI25</f>
        <v>350000</v>
      </c>
      <c r="AJ19" s="979">
        <f>Calculations!AJ25</f>
        <v>450000</v>
      </c>
      <c r="AK19" s="979">
        <f>Calculations!AK25</f>
        <v>550000</v>
      </c>
      <c r="AL19" s="979">
        <f>Calculations!AL25</f>
        <v>650000</v>
      </c>
      <c r="AM19" s="979">
        <f>Calculations!AM25</f>
        <v>750000</v>
      </c>
      <c r="AN19" s="979">
        <f>Calculations!AN25</f>
        <v>850000</v>
      </c>
      <c r="AO19" s="979">
        <f>Calculations!AO25</f>
        <v>950000</v>
      </c>
      <c r="AP19"/>
      <c r="AQ19"/>
      <c r="CR19" s="577"/>
      <c r="CS19" s="482">
        <f t="shared" si="51"/>
        <v>4166.666666666667</v>
      </c>
      <c r="CT19" s="482">
        <f t="shared" si="51"/>
        <v>4166.666666666667</v>
      </c>
      <c r="CU19" s="482">
        <f t="shared" si="51"/>
        <v>4166.666666666667</v>
      </c>
      <c r="CV19" s="482">
        <f t="shared" si="51"/>
        <v>4166.666666666667</v>
      </c>
      <c r="CW19" s="482">
        <f t="shared" si="51"/>
        <v>4166.666666666667</v>
      </c>
      <c r="CX19" s="482">
        <f t="shared" si="51"/>
        <v>4166.666666666667</v>
      </c>
      <c r="CY19" s="482">
        <f t="shared" si="51"/>
        <v>8333.3333333333339</v>
      </c>
      <c r="CZ19" s="482">
        <f t="shared" si="51"/>
        <v>8333.3333333333339</v>
      </c>
      <c r="DA19" s="482">
        <f t="shared" si="51"/>
        <v>8333.3333333333339</v>
      </c>
      <c r="DB19" s="482">
        <f t="shared" si="51"/>
        <v>8333.3333333333339</v>
      </c>
      <c r="DC19" s="482">
        <f t="shared" si="51"/>
        <v>8333.3333333333339</v>
      </c>
      <c r="DD19" s="482">
        <f t="shared" si="51"/>
        <v>8333.3333333333339</v>
      </c>
      <c r="DE19" s="103">
        <f>SUM(CS19:DD19)</f>
        <v>75000</v>
      </c>
      <c r="DF19" s="483" t="e">
        <f>IF(PS_AnnualDetail,AG19,#REF!)</f>
        <v>#REF!</v>
      </c>
      <c r="DG19" s="484">
        <f t="shared" si="52"/>
        <v>250000</v>
      </c>
      <c r="DH19" s="483">
        <f t="shared" si="52"/>
        <v>350000</v>
      </c>
      <c r="DI19" s="484">
        <f t="shared" si="52"/>
        <v>450000</v>
      </c>
      <c r="DJ19"/>
      <c r="DK19" s="92"/>
      <c r="DL19" s="93">
        <f t="shared" si="53"/>
        <v>0</v>
      </c>
      <c r="DM19" s="93">
        <f t="shared" si="53"/>
        <v>0</v>
      </c>
      <c r="DN19" s="93">
        <f t="shared" si="53"/>
        <v>0</v>
      </c>
      <c r="DO19" s="93">
        <f t="shared" si="53"/>
        <v>0</v>
      </c>
      <c r="DP19" s="93">
        <f t="shared" si="53"/>
        <v>0</v>
      </c>
      <c r="DQ19" s="93">
        <f t="shared" si="53"/>
        <v>0</v>
      </c>
      <c r="DR19" s="93">
        <f t="shared" si="53"/>
        <v>0</v>
      </c>
      <c r="DS19" s="93">
        <f t="shared" si="53"/>
        <v>0</v>
      </c>
      <c r="DT19" s="93">
        <f t="shared" si="53"/>
        <v>0</v>
      </c>
      <c r="DU19" s="93">
        <f t="shared" si="53"/>
        <v>0</v>
      </c>
      <c r="DV19" s="93">
        <f t="shared" si="53"/>
        <v>0</v>
      </c>
      <c r="DW19" s="93">
        <f t="shared" si="53"/>
        <v>0</v>
      </c>
      <c r="DX19" s="94">
        <f>SUM(DL19:DW19)</f>
        <v>0</v>
      </c>
      <c r="DY19" s="215" t="e">
        <f>IF(PS_AnnualDetail,AG19,#REF!)-DF19</f>
        <v>#REF!</v>
      </c>
      <c r="DZ19" s="94">
        <f t="shared" si="54"/>
        <v>0</v>
      </c>
      <c r="EA19" s="93">
        <f t="shared" si="54"/>
        <v>0</v>
      </c>
      <c r="EB19" s="94">
        <f t="shared" si="54"/>
        <v>0</v>
      </c>
      <c r="EC19"/>
    </row>
    <row r="20" spans="1:133" ht="12.4" customHeight="1" x14ac:dyDescent="0.2">
      <c r="A20" s="252" t="s">
        <v>120</v>
      </c>
      <c r="B20" s="93"/>
      <c r="C20" s="696">
        <f>Calculations!C32</f>
        <v>0</v>
      </c>
      <c r="D20" s="696">
        <f>Calculations!D32</f>
        <v>0</v>
      </c>
      <c r="E20" s="696">
        <f>Calculations!E32</f>
        <v>0</v>
      </c>
      <c r="F20" s="696">
        <f>Calculations!F32</f>
        <v>0</v>
      </c>
      <c r="G20" s="814">
        <f t="shared" si="55"/>
        <v>0</v>
      </c>
      <c r="H20" s="696">
        <f>Calculations!H32</f>
        <v>1083.75</v>
      </c>
      <c r="I20" s="696">
        <f>Calculations!I32</f>
        <v>1083.75</v>
      </c>
      <c r="J20" s="696">
        <f>Calculations!J32</f>
        <v>1083.75</v>
      </c>
      <c r="K20" s="696">
        <f>Calculations!K32</f>
        <v>1083.75</v>
      </c>
      <c r="L20" s="696">
        <f>Calculations!L32</f>
        <v>1083.75</v>
      </c>
      <c r="M20" s="696">
        <f>Calculations!M32</f>
        <v>1083.75</v>
      </c>
      <c r="N20" s="696">
        <f>Calculations!N32</f>
        <v>2677.5</v>
      </c>
      <c r="O20" s="696">
        <f>Calculations!O32</f>
        <v>2677.5</v>
      </c>
      <c r="P20" s="696">
        <f>Calculations!P32</f>
        <v>2677.5</v>
      </c>
      <c r="Q20" s="696">
        <f>Calculations!Q32</f>
        <v>2677.5</v>
      </c>
      <c r="R20" s="696">
        <f>Calculations!R32</f>
        <v>2677.5</v>
      </c>
      <c r="S20" s="696">
        <f>Calculations!S32</f>
        <v>2677.5</v>
      </c>
      <c r="T20" s="814">
        <f t="shared" si="50"/>
        <v>22567.5</v>
      </c>
      <c r="U20" s="696">
        <f>Calculations!U32</f>
        <v>5737.5</v>
      </c>
      <c r="V20" s="696">
        <f>Calculations!V32</f>
        <v>5737.5</v>
      </c>
      <c r="W20" s="696">
        <f>Calculations!W32</f>
        <v>5737.5</v>
      </c>
      <c r="X20" s="696">
        <f>Calculations!X32</f>
        <v>5737.5</v>
      </c>
      <c r="Y20" s="696">
        <f>Calculations!Y32</f>
        <v>5737.5</v>
      </c>
      <c r="Z20" s="696">
        <f>Calculations!Z32</f>
        <v>5737.5</v>
      </c>
      <c r="AA20" s="696">
        <f>Calculations!AA32</f>
        <v>6056.25</v>
      </c>
      <c r="AB20" s="696">
        <f>Calculations!AB32</f>
        <v>6056.25</v>
      </c>
      <c r="AC20" s="696">
        <f>Calculations!AC32</f>
        <v>6056.25</v>
      </c>
      <c r="AD20" s="696">
        <f>Calculations!AD32</f>
        <v>6056.25</v>
      </c>
      <c r="AE20" s="696">
        <f>Calculations!AE32</f>
        <v>6056.25</v>
      </c>
      <c r="AF20" s="696">
        <f>Calculations!AF32</f>
        <v>6056.25</v>
      </c>
      <c r="AG20" s="814">
        <f t="shared" si="56"/>
        <v>70762.5</v>
      </c>
      <c r="AH20" s="979">
        <f>Calculations!AH32</f>
        <v>95625</v>
      </c>
      <c r="AI20" s="979">
        <f>Calculations!AI32</f>
        <v>118575</v>
      </c>
      <c r="AJ20" s="979">
        <f>Calculations!AJ32</f>
        <v>141525</v>
      </c>
      <c r="AK20" s="979">
        <f>Calculations!AK32</f>
        <v>164475</v>
      </c>
      <c r="AL20" s="979">
        <f>Calculations!AL32</f>
        <v>187425</v>
      </c>
      <c r="AM20" s="979">
        <f>Calculations!AM32</f>
        <v>210375</v>
      </c>
      <c r="AN20" s="979">
        <f>Calculations!AN32</f>
        <v>233325</v>
      </c>
      <c r="AO20" s="979">
        <f>Calculations!AO32</f>
        <v>256275</v>
      </c>
      <c r="AP20"/>
      <c r="AQ20"/>
      <c r="CR20" s="546"/>
      <c r="CS20" s="546">
        <f t="shared" ref="CS20:CS30" si="57">H20</f>
        <v>1083.75</v>
      </c>
      <c r="CT20" s="546">
        <f t="shared" ref="CT20:CT30" si="58">I20</f>
        <v>1083.75</v>
      </c>
      <c r="CU20" s="479">
        <f t="shared" ref="CU20:CU30" si="59">J20</f>
        <v>1083.75</v>
      </c>
      <c r="CV20" s="479">
        <f t="shared" ref="CV20:CV30" si="60">K20</f>
        <v>1083.75</v>
      </c>
      <c r="CW20" s="479">
        <f t="shared" ref="CW20:CW30" si="61">L20</f>
        <v>1083.75</v>
      </c>
      <c r="CX20" s="479">
        <f t="shared" ref="CX20:CX30" si="62">M20</f>
        <v>1083.75</v>
      </c>
      <c r="CY20" s="479">
        <f t="shared" ref="CY20:CY30" si="63">N20</f>
        <v>2677.5</v>
      </c>
      <c r="CZ20" s="479">
        <f t="shared" ref="CZ20:CZ30" si="64">O20</f>
        <v>2677.5</v>
      </c>
      <c r="DA20" s="479">
        <f t="shared" ref="DA20:DA30" si="65">P20</f>
        <v>2677.5</v>
      </c>
      <c r="DB20" s="479">
        <f t="shared" ref="DB20:DB30" si="66">Q20</f>
        <v>2677.5</v>
      </c>
      <c r="DC20" s="479">
        <f t="shared" ref="DC20:DC30" si="67">R20</f>
        <v>2677.5</v>
      </c>
      <c r="DD20" s="479">
        <f t="shared" ref="DD20:DD30" si="68">S20</f>
        <v>2677.5</v>
      </c>
      <c r="DE20" s="103">
        <f t="shared" ref="DE20:DE30" si="69">SUM(CS20:DD20)</f>
        <v>22567.5</v>
      </c>
      <c r="DF20" s="545" t="e">
        <f>IF(PS_AnnualDetail,AG20,#REF!)</f>
        <v>#REF!</v>
      </c>
      <c r="DG20" s="546">
        <f t="shared" ref="DG20:DG30" si="70">AH20</f>
        <v>95625</v>
      </c>
      <c r="DH20" s="545">
        <f t="shared" ref="DH20:DH30" si="71">AI20</f>
        <v>118575</v>
      </c>
      <c r="DI20" s="547">
        <f t="shared" ref="DI20:DI30" si="72">AJ20</f>
        <v>141525</v>
      </c>
      <c r="DJ20"/>
      <c r="DK20" s="90"/>
      <c r="DL20" s="90">
        <f t="shared" ref="DL20:DL30" si="73">H20-CS20</f>
        <v>0</v>
      </c>
      <c r="DM20" s="90">
        <f t="shared" ref="DM20:DM30" si="74">I20-CT20</f>
        <v>0</v>
      </c>
      <c r="DN20" s="90">
        <f t="shared" ref="DN20:DN30" si="75">J20-CU20</f>
        <v>0</v>
      </c>
      <c r="DO20" s="90">
        <f t="shared" ref="DO20:DO30" si="76">K20-CV20</f>
        <v>0</v>
      </c>
      <c r="DP20" s="90">
        <f t="shared" ref="DP20:DP30" si="77">L20-CW20</f>
        <v>0</v>
      </c>
      <c r="DQ20" s="90">
        <f t="shared" ref="DQ20:DQ30" si="78">M20-CX20</f>
        <v>0</v>
      </c>
      <c r="DR20" s="90">
        <f t="shared" ref="DR20:DR30" si="79">N20-CY20</f>
        <v>0</v>
      </c>
      <c r="DS20" s="90">
        <f t="shared" ref="DS20:DS30" si="80">O20-CZ20</f>
        <v>0</v>
      </c>
      <c r="DT20" s="90">
        <f t="shared" ref="DT20:DT30" si="81">P20-DA20</f>
        <v>0</v>
      </c>
      <c r="DU20" s="90">
        <f t="shared" ref="DU20:DU30" si="82">Q20-DB20</f>
        <v>0</v>
      </c>
      <c r="DV20" s="90">
        <f t="shared" ref="DV20:DV30" si="83">R20-DC20</f>
        <v>0</v>
      </c>
      <c r="DW20" s="90">
        <f t="shared" ref="DW20:DW30" si="84">S20-DD20</f>
        <v>0</v>
      </c>
      <c r="DX20" s="94">
        <f t="shared" ref="DX20:DX30" si="85">SUM(DL20:DW20)</f>
        <v>0</v>
      </c>
      <c r="DY20" s="244" t="e">
        <f>IF(PS_AnnualDetail,AG20,#REF!)-DF20</f>
        <v>#REF!</v>
      </c>
      <c r="DZ20" s="91">
        <f t="shared" ref="DZ20:DZ30" si="86">AH20-DG20</f>
        <v>0</v>
      </c>
      <c r="EA20" s="90">
        <f t="shared" ref="EA20:EA30" si="87">AI20-DH20</f>
        <v>0</v>
      </c>
      <c r="EB20" s="91">
        <f t="shared" ref="EB20:EB30" si="88">AJ20-DI20</f>
        <v>0</v>
      </c>
      <c r="EC20"/>
    </row>
    <row r="21" spans="1:133" ht="12.4" customHeight="1" x14ac:dyDescent="0.2">
      <c r="A21" s="252" t="s">
        <v>402</v>
      </c>
      <c r="B21" s="93"/>
      <c r="C21" s="696">
        <f>Calculations!C37</f>
        <v>0</v>
      </c>
      <c r="D21" s="696">
        <f>Calculations!D37</f>
        <v>0</v>
      </c>
      <c r="E21" s="696">
        <f>Calculations!E37</f>
        <v>0</v>
      </c>
      <c r="F21" s="696">
        <f>Calculations!F37</f>
        <v>0</v>
      </c>
      <c r="G21" s="814">
        <f t="shared" si="55"/>
        <v>0</v>
      </c>
      <c r="H21" s="696">
        <f>Calculations!G37</f>
        <v>0</v>
      </c>
      <c r="I21" s="696">
        <f>Calculations!I37</f>
        <v>1666.6666666666667</v>
      </c>
      <c r="J21" s="696">
        <f>Calculations!J37</f>
        <v>1666.6666666666667</v>
      </c>
      <c r="K21" s="696">
        <f>Calculations!K37</f>
        <v>1666.6666666666667</v>
      </c>
      <c r="L21" s="696">
        <f>Calculations!L37</f>
        <v>1666.6666666666667</v>
      </c>
      <c r="M21" s="696">
        <f>Calculations!M37</f>
        <v>1666.6666666666667</v>
      </c>
      <c r="N21" s="696">
        <f>Calculations!N37</f>
        <v>4166.666666666667</v>
      </c>
      <c r="O21" s="696">
        <f>Calculations!O37</f>
        <v>4166.666666666667</v>
      </c>
      <c r="P21" s="696">
        <f>Calculations!P37</f>
        <v>4166.666666666667</v>
      </c>
      <c r="Q21" s="696">
        <f>Calculations!Q37</f>
        <v>4166.666666666667</v>
      </c>
      <c r="R21" s="696">
        <f>Calculations!R37</f>
        <v>4166.666666666667</v>
      </c>
      <c r="S21" s="696">
        <f>Calculations!S37</f>
        <v>4166.666666666667</v>
      </c>
      <c r="T21" s="814">
        <f t="shared" si="50"/>
        <v>33333.333333333336</v>
      </c>
      <c r="U21" s="696">
        <f>Calculations!U37</f>
        <v>5833.3333333333339</v>
      </c>
      <c r="V21" s="696">
        <f>Calculations!V37</f>
        <v>5833.3333333333339</v>
      </c>
      <c r="W21" s="696">
        <f>Calculations!W37</f>
        <v>5833.3333333333339</v>
      </c>
      <c r="X21" s="696">
        <f>Calculations!X37</f>
        <v>5833.3333333333339</v>
      </c>
      <c r="Y21" s="696">
        <f>Calculations!Y37</f>
        <v>5833.3333333333339</v>
      </c>
      <c r="Z21" s="696">
        <f>Calculations!Z37</f>
        <v>5833.3333333333339</v>
      </c>
      <c r="AA21" s="696">
        <f>Calculations!AA37</f>
        <v>6666.666666666667</v>
      </c>
      <c r="AB21" s="696">
        <f>Calculations!AB37</f>
        <v>6666.666666666667</v>
      </c>
      <c r="AC21" s="696">
        <f>Calculations!AC37</f>
        <v>6666.666666666667</v>
      </c>
      <c r="AD21" s="696">
        <f>Calculations!AD37</f>
        <v>6666.666666666667</v>
      </c>
      <c r="AE21" s="696">
        <f>Calculations!AE37</f>
        <v>6666.666666666667</v>
      </c>
      <c r="AF21" s="696">
        <f>Calculations!AF37</f>
        <v>6666.666666666667</v>
      </c>
      <c r="AG21" s="814">
        <f t="shared" si="56"/>
        <v>75000</v>
      </c>
      <c r="AH21" s="979">
        <f>Calculations!AH37</f>
        <v>120000</v>
      </c>
      <c r="AI21" s="979">
        <f>Calculations!AI37</f>
        <v>160000</v>
      </c>
      <c r="AJ21" s="979">
        <f>Calculations!AJ37</f>
        <v>200000</v>
      </c>
      <c r="AK21" s="979">
        <f>Calculations!AK37</f>
        <v>240000</v>
      </c>
      <c r="AL21" s="979">
        <f>Calculations!AL37</f>
        <v>280000</v>
      </c>
      <c r="AM21" s="979">
        <f>Calculations!AM37</f>
        <v>320000</v>
      </c>
      <c r="AN21" s="979">
        <f>Calculations!AN37</f>
        <v>360000</v>
      </c>
      <c r="AO21" s="979">
        <f>Calculations!AO37</f>
        <v>400000</v>
      </c>
      <c r="AP21"/>
      <c r="AQ21"/>
      <c r="CR21" s="808"/>
      <c r="CS21" s="808"/>
      <c r="CT21" s="808"/>
      <c r="CU21" s="482"/>
      <c r="CV21" s="482"/>
      <c r="CW21" s="482"/>
      <c r="CX21" s="482"/>
      <c r="CY21" s="482"/>
      <c r="CZ21" s="482"/>
      <c r="DA21" s="482"/>
      <c r="DB21" s="482"/>
      <c r="DC21" s="482"/>
      <c r="DD21" s="482"/>
      <c r="DE21" s="103"/>
      <c r="DF21" s="809"/>
      <c r="DG21" s="808"/>
      <c r="DH21" s="809"/>
      <c r="DI21" s="547"/>
      <c r="DJ21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4"/>
      <c r="DY21" s="215"/>
      <c r="DZ21" s="94"/>
      <c r="EA21" s="93"/>
      <c r="EB21" s="94"/>
      <c r="EC21"/>
    </row>
    <row r="22" spans="1:133" ht="12.4" customHeight="1" x14ac:dyDescent="0.2">
      <c r="A22" s="705" t="s">
        <v>229</v>
      </c>
      <c r="B22" s="548"/>
      <c r="C22" s="696">
        <f>Calculations!C40</f>
        <v>0</v>
      </c>
      <c r="D22" s="696">
        <f>Calculations!D40</f>
        <v>0</v>
      </c>
      <c r="E22" s="696">
        <f>Calculations!E40</f>
        <v>0</v>
      </c>
      <c r="F22" s="696">
        <f>Calculations!F40</f>
        <v>0</v>
      </c>
      <c r="G22" s="814">
        <f t="shared" si="55"/>
        <v>0</v>
      </c>
      <c r="H22" s="696">
        <f>Calculations!H40</f>
        <v>1500</v>
      </c>
      <c r="I22" s="696">
        <f>Calculations!I40</f>
        <v>1500</v>
      </c>
      <c r="J22" s="696">
        <f>Calculations!J40</f>
        <v>1500</v>
      </c>
      <c r="K22" s="696">
        <f>Calculations!K40</f>
        <v>1500</v>
      </c>
      <c r="L22" s="696">
        <f>Calculations!L40</f>
        <v>1500</v>
      </c>
      <c r="M22" s="696">
        <f>Calculations!M40</f>
        <v>1500</v>
      </c>
      <c r="N22" s="696">
        <f>Calculations!N40</f>
        <v>3000</v>
      </c>
      <c r="O22" s="696">
        <f>Calculations!O40</f>
        <v>3000</v>
      </c>
      <c r="P22" s="696">
        <f>Calculations!P40</f>
        <v>3000</v>
      </c>
      <c r="Q22" s="696">
        <f>Calculations!Q40</f>
        <v>3000</v>
      </c>
      <c r="R22" s="696">
        <f>Calculations!R40</f>
        <v>7500</v>
      </c>
      <c r="S22" s="696">
        <f>Calculations!S40</f>
        <v>7500</v>
      </c>
      <c r="T22" s="814">
        <f>SUM(H22:S22)</f>
        <v>36000</v>
      </c>
      <c r="U22" s="696">
        <f>Calculations!U40</f>
        <v>18750</v>
      </c>
      <c r="V22" s="696">
        <f>Calculations!V40</f>
        <v>18750</v>
      </c>
      <c r="W22" s="696">
        <f>Calculations!W40</f>
        <v>18750</v>
      </c>
      <c r="X22" s="696">
        <f>Calculations!X40</f>
        <v>18750</v>
      </c>
      <c r="Y22" s="696">
        <f>Calculations!Y40</f>
        <v>18750</v>
      </c>
      <c r="Z22" s="696">
        <f>Calculations!Z40</f>
        <v>18750</v>
      </c>
      <c r="AA22" s="696">
        <f>Calculations!AA40</f>
        <v>18750</v>
      </c>
      <c r="AB22" s="696">
        <f>Calculations!AB40</f>
        <v>18750</v>
      </c>
      <c r="AC22" s="696">
        <f>Calculations!AC40</f>
        <v>18750</v>
      </c>
      <c r="AD22" s="696">
        <f>Calculations!AD40</f>
        <v>18750</v>
      </c>
      <c r="AE22" s="696">
        <f>Calculations!AE40</f>
        <v>18750</v>
      </c>
      <c r="AF22" s="696">
        <f>Calculations!AF40</f>
        <v>18750</v>
      </c>
      <c r="AG22" s="814">
        <f t="shared" si="56"/>
        <v>225000</v>
      </c>
      <c r="AH22" s="979">
        <f>Calculations!AH40</f>
        <v>337500</v>
      </c>
      <c r="AI22" s="979">
        <f>Calculations!AI40</f>
        <v>506250</v>
      </c>
      <c r="AJ22" s="979">
        <f>Calculations!AJ40</f>
        <v>759375</v>
      </c>
      <c r="AK22" s="979">
        <f>Calculations!AK40</f>
        <v>949218.75</v>
      </c>
      <c r="AL22" s="979">
        <f>Calculations!AL40</f>
        <v>1186523.4375</v>
      </c>
      <c r="AM22" s="979">
        <f>Calculations!AM40</f>
        <v>1483154.296875</v>
      </c>
      <c r="AN22" s="979">
        <f>Calculations!AN40</f>
        <v>1853942.87109375</v>
      </c>
      <c r="AO22" s="979">
        <f>Calculations!AO40</f>
        <v>2317428.5888671875</v>
      </c>
      <c r="AP22"/>
      <c r="AQ22"/>
      <c r="CR22" s="498"/>
      <c r="CS22" s="482">
        <f t="shared" si="57"/>
        <v>1500</v>
      </c>
      <c r="CT22" s="482">
        <f t="shared" si="58"/>
        <v>1500</v>
      </c>
      <c r="CU22" s="482">
        <f t="shared" si="59"/>
        <v>1500</v>
      </c>
      <c r="CV22" s="482">
        <f t="shared" si="60"/>
        <v>1500</v>
      </c>
      <c r="CW22" s="482">
        <f t="shared" si="61"/>
        <v>1500</v>
      </c>
      <c r="CX22" s="482">
        <f t="shared" si="62"/>
        <v>1500</v>
      </c>
      <c r="CY22" s="482">
        <f t="shared" si="63"/>
        <v>3000</v>
      </c>
      <c r="CZ22" s="482">
        <f t="shared" si="64"/>
        <v>3000</v>
      </c>
      <c r="DA22" s="482">
        <f t="shared" si="65"/>
        <v>3000</v>
      </c>
      <c r="DB22" s="482">
        <f t="shared" si="66"/>
        <v>3000</v>
      </c>
      <c r="DC22" s="482">
        <f t="shared" si="67"/>
        <v>7500</v>
      </c>
      <c r="DD22" s="482">
        <f t="shared" si="68"/>
        <v>7500</v>
      </c>
      <c r="DE22" s="103">
        <f t="shared" si="69"/>
        <v>36000</v>
      </c>
      <c r="DF22" s="483" t="e">
        <f>IF(PS_AnnualDetail,AG22,#REF!)</f>
        <v>#REF!</v>
      </c>
      <c r="DG22" s="484">
        <f t="shared" si="70"/>
        <v>337500</v>
      </c>
      <c r="DH22" s="483">
        <f t="shared" si="71"/>
        <v>506250</v>
      </c>
      <c r="DI22" s="484">
        <f t="shared" si="72"/>
        <v>759375</v>
      </c>
      <c r="DJ22"/>
      <c r="DK22" s="245"/>
      <c r="DL22" s="93">
        <f t="shared" si="73"/>
        <v>0</v>
      </c>
      <c r="DM22" s="93">
        <f t="shared" si="74"/>
        <v>0</v>
      </c>
      <c r="DN22" s="93">
        <f t="shared" si="75"/>
        <v>0</v>
      </c>
      <c r="DO22" s="93">
        <f t="shared" si="76"/>
        <v>0</v>
      </c>
      <c r="DP22" s="93">
        <f t="shared" si="77"/>
        <v>0</v>
      </c>
      <c r="DQ22" s="93">
        <f t="shared" si="78"/>
        <v>0</v>
      </c>
      <c r="DR22" s="93">
        <f t="shared" si="79"/>
        <v>0</v>
      </c>
      <c r="DS22" s="93">
        <f t="shared" si="80"/>
        <v>0</v>
      </c>
      <c r="DT22" s="93">
        <f t="shared" si="81"/>
        <v>0</v>
      </c>
      <c r="DU22" s="93">
        <f t="shared" si="82"/>
        <v>0</v>
      </c>
      <c r="DV22" s="93">
        <f t="shared" si="83"/>
        <v>0</v>
      </c>
      <c r="DW22" s="93">
        <f t="shared" si="84"/>
        <v>0</v>
      </c>
      <c r="DX22" s="94">
        <f t="shared" si="85"/>
        <v>0</v>
      </c>
      <c r="DY22" s="215" t="e">
        <f>IF(PS_AnnualDetail,AG22,#REF!)-DF22</f>
        <v>#REF!</v>
      </c>
      <c r="DZ22" s="94">
        <f t="shared" si="86"/>
        <v>0</v>
      </c>
      <c r="EA22" s="93">
        <f t="shared" si="87"/>
        <v>0</v>
      </c>
      <c r="EB22" s="94">
        <f t="shared" si="88"/>
        <v>0</v>
      </c>
      <c r="EC22"/>
    </row>
    <row r="23" spans="1:133" ht="12.4" customHeight="1" x14ac:dyDescent="0.2">
      <c r="A23" s="705" t="s">
        <v>103</v>
      </c>
      <c r="B23" s="498"/>
      <c r="C23" s="696">
        <f>Calculations!C43</f>
        <v>0</v>
      </c>
      <c r="D23" s="696">
        <f>Calculations!D43</f>
        <v>0</v>
      </c>
      <c r="E23" s="696">
        <f>Calculations!E43</f>
        <v>0</v>
      </c>
      <c r="F23" s="696">
        <f>Calculations!F43</f>
        <v>0</v>
      </c>
      <c r="G23" s="814">
        <f t="shared" si="55"/>
        <v>0</v>
      </c>
      <c r="H23" s="696">
        <f>Calculations!H43</f>
        <v>3333.3333333333335</v>
      </c>
      <c r="I23" s="696">
        <f>Calculations!I43</f>
        <v>3333.3333333333335</v>
      </c>
      <c r="J23" s="696">
        <f>Calculations!J43</f>
        <v>3333.3333333333335</v>
      </c>
      <c r="K23" s="696">
        <f>Calculations!K43</f>
        <v>3333.3333333333335</v>
      </c>
      <c r="L23" s="696">
        <f>Calculations!L43</f>
        <v>3333.3333333333335</v>
      </c>
      <c r="M23" s="696">
        <f>Calculations!M43</f>
        <v>3333.3333333333335</v>
      </c>
      <c r="N23" s="696">
        <f>Calculations!N43</f>
        <v>3333.3333333333335</v>
      </c>
      <c r="O23" s="696">
        <f>Calculations!O43</f>
        <v>3333.3333333333335</v>
      </c>
      <c r="P23" s="696">
        <f>Calculations!P43</f>
        <v>3333.3333333333335</v>
      </c>
      <c r="Q23" s="696">
        <f>Calculations!Q43</f>
        <v>3333.3333333333335</v>
      </c>
      <c r="R23" s="696">
        <f>Calculations!R43</f>
        <v>3333.3333333333335</v>
      </c>
      <c r="S23" s="696">
        <f>Calculations!S43</f>
        <v>3333.3333333333335</v>
      </c>
      <c r="T23" s="814">
        <f t="shared" ref="T23:T35" si="89">SUM(H23:S23)</f>
        <v>40000</v>
      </c>
      <c r="U23" s="696">
        <f>Calculations!U43</f>
        <v>4375</v>
      </c>
      <c r="V23" s="696">
        <f>Calculations!V43</f>
        <v>4375</v>
      </c>
      <c r="W23" s="696">
        <f>Calculations!W43</f>
        <v>4375</v>
      </c>
      <c r="X23" s="696">
        <f>Calculations!X43</f>
        <v>4375</v>
      </c>
      <c r="Y23" s="696">
        <f>Calculations!Y43</f>
        <v>4375</v>
      </c>
      <c r="Z23" s="696">
        <f>Calculations!Z43</f>
        <v>4375</v>
      </c>
      <c r="AA23" s="696">
        <f>Calculations!AA43</f>
        <v>4375</v>
      </c>
      <c r="AB23" s="696">
        <f>Calculations!AB43</f>
        <v>4375</v>
      </c>
      <c r="AC23" s="696">
        <f>Calculations!AC43</f>
        <v>4375</v>
      </c>
      <c r="AD23" s="696">
        <f>Calculations!AD43</f>
        <v>4375</v>
      </c>
      <c r="AE23" s="696">
        <f>Calculations!AE43</f>
        <v>4375</v>
      </c>
      <c r="AF23" s="696">
        <f>Calculations!AF43</f>
        <v>4375</v>
      </c>
      <c r="AG23" s="814">
        <f t="shared" si="56"/>
        <v>52500</v>
      </c>
      <c r="AH23" s="979">
        <f>Calculations!AH43</f>
        <v>55125</v>
      </c>
      <c r="AI23" s="979">
        <f>Calculations!AI43</f>
        <v>57881.25</v>
      </c>
      <c r="AJ23" s="979">
        <f>Calculations!AJ43</f>
        <v>60775.3125</v>
      </c>
      <c r="AK23" s="979">
        <f>Calculations!AK43</f>
        <v>63814.078125</v>
      </c>
      <c r="AL23" s="979">
        <f>Calculations!AL43</f>
        <v>67004.782031249997</v>
      </c>
      <c r="AM23" s="979">
        <f>Calculations!AM43</f>
        <v>70355.021132812501</v>
      </c>
      <c r="AN23" s="979">
        <f>Calculations!AN43</f>
        <v>73872.772189453128</v>
      </c>
      <c r="AO23" s="979">
        <f>Calculations!AO43</f>
        <v>77566.41079892579</v>
      </c>
      <c r="AP23"/>
      <c r="AQ23"/>
      <c r="CR23" s="498"/>
      <c r="CS23" s="482">
        <f t="shared" si="57"/>
        <v>3333.3333333333335</v>
      </c>
      <c r="CT23" s="482">
        <f t="shared" si="58"/>
        <v>3333.3333333333335</v>
      </c>
      <c r="CU23" s="482">
        <f t="shared" si="59"/>
        <v>3333.3333333333335</v>
      </c>
      <c r="CV23" s="482">
        <f t="shared" si="60"/>
        <v>3333.3333333333335</v>
      </c>
      <c r="CW23" s="482">
        <f t="shared" si="61"/>
        <v>3333.3333333333335</v>
      </c>
      <c r="CX23" s="482">
        <f t="shared" si="62"/>
        <v>3333.3333333333335</v>
      </c>
      <c r="CY23" s="482">
        <f t="shared" si="63"/>
        <v>3333.3333333333335</v>
      </c>
      <c r="CZ23" s="482">
        <f t="shared" si="64"/>
        <v>3333.3333333333335</v>
      </c>
      <c r="DA23" s="482">
        <f t="shared" si="65"/>
        <v>3333.3333333333335</v>
      </c>
      <c r="DB23" s="482">
        <f t="shared" si="66"/>
        <v>3333.3333333333335</v>
      </c>
      <c r="DC23" s="482">
        <f t="shared" si="67"/>
        <v>3333.3333333333335</v>
      </c>
      <c r="DD23" s="482">
        <f t="shared" si="68"/>
        <v>3333.3333333333335</v>
      </c>
      <c r="DE23" s="103">
        <f t="shared" si="69"/>
        <v>40000</v>
      </c>
      <c r="DF23" s="483" t="e">
        <f>IF(PS_AnnualDetail,AG23,#REF!)</f>
        <v>#REF!</v>
      </c>
      <c r="DG23" s="484">
        <f t="shared" si="70"/>
        <v>55125</v>
      </c>
      <c r="DH23" s="483">
        <f t="shared" si="71"/>
        <v>57881.25</v>
      </c>
      <c r="DI23" s="484">
        <f t="shared" si="72"/>
        <v>60775.3125</v>
      </c>
      <c r="DJ23"/>
      <c r="DK23" s="245"/>
      <c r="DL23" s="93">
        <f t="shared" si="73"/>
        <v>0</v>
      </c>
      <c r="DM23" s="93">
        <f t="shared" si="74"/>
        <v>0</v>
      </c>
      <c r="DN23" s="93">
        <f t="shared" si="75"/>
        <v>0</v>
      </c>
      <c r="DO23" s="93">
        <f t="shared" si="76"/>
        <v>0</v>
      </c>
      <c r="DP23" s="93">
        <f t="shared" si="77"/>
        <v>0</v>
      </c>
      <c r="DQ23" s="93">
        <f t="shared" si="78"/>
        <v>0</v>
      </c>
      <c r="DR23" s="93">
        <f t="shared" si="79"/>
        <v>0</v>
      </c>
      <c r="DS23" s="93">
        <f t="shared" si="80"/>
        <v>0</v>
      </c>
      <c r="DT23" s="93">
        <f t="shared" si="81"/>
        <v>0</v>
      </c>
      <c r="DU23" s="93">
        <f t="shared" si="82"/>
        <v>0</v>
      </c>
      <c r="DV23" s="93">
        <f t="shared" si="83"/>
        <v>0</v>
      </c>
      <c r="DW23" s="93">
        <f t="shared" si="84"/>
        <v>0</v>
      </c>
      <c r="DX23" s="94">
        <f t="shared" si="85"/>
        <v>0</v>
      </c>
      <c r="DY23" s="215" t="e">
        <f>IF(PS_AnnualDetail,AG23,#REF!)-DF23</f>
        <v>#REF!</v>
      </c>
      <c r="DZ23" s="94">
        <f t="shared" si="86"/>
        <v>0</v>
      </c>
      <c r="EA23" s="93">
        <f t="shared" si="87"/>
        <v>0</v>
      </c>
      <c r="EB23" s="94">
        <f t="shared" si="88"/>
        <v>0</v>
      </c>
      <c r="EC23"/>
    </row>
    <row r="24" spans="1:133" ht="12.4" customHeight="1" x14ac:dyDescent="0.2">
      <c r="A24" s="705" t="s">
        <v>148</v>
      </c>
      <c r="B24" s="654">
        <v>0.15</v>
      </c>
      <c r="C24" s="696">
        <f>Calculations!C46</f>
        <v>0</v>
      </c>
      <c r="D24" s="696">
        <f>Calculations!D46</f>
        <v>0</v>
      </c>
      <c r="E24" s="696">
        <f>Calculations!E46</f>
        <v>0</v>
      </c>
      <c r="F24" s="696">
        <f>Calculations!F46</f>
        <v>0</v>
      </c>
      <c r="G24" s="814">
        <f t="shared" si="55"/>
        <v>0</v>
      </c>
      <c r="H24" s="696">
        <f>Calculations!H46</f>
        <v>1000</v>
      </c>
      <c r="I24" s="696">
        <f>Calculations!I46</f>
        <v>1000</v>
      </c>
      <c r="J24" s="696">
        <f>Calculations!J46</f>
        <v>1000</v>
      </c>
      <c r="K24" s="696">
        <f>Calculations!K46</f>
        <v>1000</v>
      </c>
      <c r="L24" s="696">
        <f>Calculations!L46</f>
        <v>1000</v>
      </c>
      <c r="M24" s="696">
        <f>Calculations!M46</f>
        <v>1000</v>
      </c>
      <c r="N24" s="696">
        <f>Calculations!N46</f>
        <v>1000</v>
      </c>
      <c r="O24" s="696">
        <f>Calculations!O46</f>
        <v>1000</v>
      </c>
      <c r="P24" s="696">
        <f>Calculations!P46</f>
        <v>1000</v>
      </c>
      <c r="Q24" s="696">
        <f>Calculations!Q46</f>
        <v>1000</v>
      </c>
      <c r="R24" s="696">
        <f>Calculations!R46</f>
        <v>1000</v>
      </c>
      <c r="S24" s="696">
        <f>Calculations!S46</f>
        <v>1000</v>
      </c>
      <c r="T24" s="814">
        <f t="shared" si="89"/>
        <v>12000</v>
      </c>
      <c r="U24" s="696">
        <f>Calculations!U46</f>
        <v>1250</v>
      </c>
      <c r="V24" s="696">
        <f>Calculations!V46</f>
        <v>1250</v>
      </c>
      <c r="W24" s="696">
        <f>Calculations!W46</f>
        <v>1250</v>
      </c>
      <c r="X24" s="696">
        <f>Calculations!X46</f>
        <v>1250</v>
      </c>
      <c r="Y24" s="696">
        <f>Calculations!Y46</f>
        <v>1250</v>
      </c>
      <c r="Z24" s="696">
        <f>Calculations!Z46</f>
        <v>1250</v>
      </c>
      <c r="AA24" s="696">
        <f>Calculations!AA46</f>
        <v>1250</v>
      </c>
      <c r="AB24" s="696">
        <f>Calculations!AB46</f>
        <v>1250</v>
      </c>
      <c r="AC24" s="696">
        <f>Calculations!AC46</f>
        <v>1250</v>
      </c>
      <c r="AD24" s="696">
        <f>Calculations!AD46</f>
        <v>1250</v>
      </c>
      <c r="AE24" s="696">
        <f>Calculations!AE46</f>
        <v>1250</v>
      </c>
      <c r="AF24" s="696">
        <f>Calculations!AF46</f>
        <v>1250</v>
      </c>
      <c r="AG24" s="814">
        <f t="shared" si="56"/>
        <v>15000</v>
      </c>
      <c r="AH24" s="979">
        <f>Calculations!AH46</f>
        <v>16500</v>
      </c>
      <c r="AI24" s="979">
        <f>Calculations!AI46</f>
        <v>18150</v>
      </c>
      <c r="AJ24" s="979">
        <f>Calculations!AJ46</f>
        <v>19965</v>
      </c>
      <c r="AK24" s="979">
        <f>Calculations!AK46</f>
        <v>21961.5</v>
      </c>
      <c r="AL24" s="979">
        <f>Calculations!AL46</f>
        <v>24157.65</v>
      </c>
      <c r="AM24" s="979">
        <f>Calculations!AM46</f>
        <v>26573.415000000005</v>
      </c>
      <c r="AN24" s="979">
        <f>Calculations!AN46</f>
        <v>29230.756500000007</v>
      </c>
      <c r="AO24" s="979">
        <f>Calculations!AO46</f>
        <v>32153.832150000009</v>
      </c>
      <c r="AP24"/>
      <c r="AQ24"/>
      <c r="CR24" s="498"/>
      <c r="CS24" s="482">
        <f t="shared" si="57"/>
        <v>1000</v>
      </c>
      <c r="CT24" s="482">
        <f t="shared" si="58"/>
        <v>1000</v>
      </c>
      <c r="CU24" s="482">
        <f t="shared" si="59"/>
        <v>1000</v>
      </c>
      <c r="CV24" s="482">
        <f t="shared" si="60"/>
        <v>1000</v>
      </c>
      <c r="CW24" s="482">
        <f t="shared" si="61"/>
        <v>1000</v>
      </c>
      <c r="CX24" s="482">
        <f t="shared" si="62"/>
        <v>1000</v>
      </c>
      <c r="CY24" s="482">
        <f t="shared" si="63"/>
        <v>1000</v>
      </c>
      <c r="CZ24" s="482">
        <f t="shared" si="64"/>
        <v>1000</v>
      </c>
      <c r="DA24" s="482">
        <f t="shared" si="65"/>
        <v>1000</v>
      </c>
      <c r="DB24" s="482">
        <f t="shared" si="66"/>
        <v>1000</v>
      </c>
      <c r="DC24" s="482">
        <f t="shared" si="67"/>
        <v>1000</v>
      </c>
      <c r="DD24" s="482">
        <f t="shared" si="68"/>
        <v>1000</v>
      </c>
      <c r="DE24" s="103">
        <f t="shared" si="69"/>
        <v>12000</v>
      </c>
      <c r="DF24" s="483" t="e">
        <f>IF(PS_AnnualDetail,AG24,#REF!)</f>
        <v>#REF!</v>
      </c>
      <c r="DG24" s="484">
        <f t="shared" si="70"/>
        <v>16500</v>
      </c>
      <c r="DH24" s="483">
        <f t="shared" si="71"/>
        <v>18150</v>
      </c>
      <c r="DI24" s="484">
        <f t="shared" si="72"/>
        <v>19965</v>
      </c>
      <c r="DJ24"/>
      <c r="DK24" s="245"/>
      <c r="DL24" s="93">
        <f t="shared" si="73"/>
        <v>0</v>
      </c>
      <c r="DM24" s="93">
        <f t="shared" si="74"/>
        <v>0</v>
      </c>
      <c r="DN24" s="93">
        <f t="shared" si="75"/>
        <v>0</v>
      </c>
      <c r="DO24" s="93">
        <f t="shared" si="76"/>
        <v>0</v>
      </c>
      <c r="DP24" s="93">
        <f t="shared" si="77"/>
        <v>0</v>
      </c>
      <c r="DQ24" s="93">
        <f t="shared" si="78"/>
        <v>0</v>
      </c>
      <c r="DR24" s="93">
        <f t="shared" si="79"/>
        <v>0</v>
      </c>
      <c r="DS24" s="93">
        <f t="shared" si="80"/>
        <v>0</v>
      </c>
      <c r="DT24" s="93">
        <f t="shared" si="81"/>
        <v>0</v>
      </c>
      <c r="DU24" s="93">
        <f t="shared" si="82"/>
        <v>0</v>
      </c>
      <c r="DV24" s="93">
        <f t="shared" si="83"/>
        <v>0</v>
      </c>
      <c r="DW24" s="93">
        <f t="shared" si="84"/>
        <v>0</v>
      </c>
      <c r="DX24" s="94">
        <f t="shared" si="85"/>
        <v>0</v>
      </c>
      <c r="DY24" s="215" t="e">
        <f>IF(PS_AnnualDetail,AG24,#REF!)-DF24</f>
        <v>#REF!</v>
      </c>
      <c r="DZ24" s="94">
        <f t="shared" si="86"/>
        <v>0</v>
      </c>
      <c r="EA24" s="93">
        <f t="shared" si="87"/>
        <v>0</v>
      </c>
      <c r="EB24" s="94">
        <f t="shared" si="88"/>
        <v>0</v>
      </c>
      <c r="EC24"/>
    </row>
    <row r="25" spans="1:133" ht="12.4" customHeight="1" x14ac:dyDescent="0.2">
      <c r="A25" s="705" t="s">
        <v>240</v>
      </c>
      <c r="B25" s="654">
        <v>0.15</v>
      </c>
      <c r="C25" s="696">
        <f>Calculations!C49</f>
        <v>0</v>
      </c>
      <c r="D25" s="696">
        <f>Calculations!D49</f>
        <v>0</v>
      </c>
      <c r="E25" s="696">
        <f>Calculations!E49</f>
        <v>0</v>
      </c>
      <c r="F25" s="696">
        <f>Calculations!F49</f>
        <v>0</v>
      </c>
      <c r="G25" s="814">
        <f t="shared" si="55"/>
        <v>0</v>
      </c>
      <c r="H25" s="696">
        <f>Calculations!H49</f>
        <v>666.66666666666663</v>
      </c>
      <c r="I25" s="696">
        <f>Calculations!I49</f>
        <v>666.66666666666663</v>
      </c>
      <c r="J25" s="696">
        <f>Calculations!J49</f>
        <v>666.66666666666663</v>
      </c>
      <c r="K25" s="696">
        <f>Calculations!K49</f>
        <v>666.66666666666663</v>
      </c>
      <c r="L25" s="696">
        <f>Calculations!L49</f>
        <v>666.66666666666663</v>
      </c>
      <c r="M25" s="696">
        <f>Calculations!M49</f>
        <v>666.66666666666663</v>
      </c>
      <c r="N25" s="696">
        <f>Calculations!N49</f>
        <v>666.66666666666663</v>
      </c>
      <c r="O25" s="696">
        <f>Calculations!O49</f>
        <v>666.66666666666663</v>
      </c>
      <c r="P25" s="696">
        <f>Calculations!P49</f>
        <v>666.66666666666663</v>
      </c>
      <c r="Q25" s="696">
        <f>Calculations!Q49</f>
        <v>666.66666666666663</v>
      </c>
      <c r="R25" s="696">
        <f>Calculations!R49</f>
        <v>666.66666666666663</v>
      </c>
      <c r="S25" s="696">
        <f>Calculations!S49</f>
        <v>666.66666666666663</v>
      </c>
      <c r="T25" s="814">
        <f t="shared" si="89"/>
        <v>8000.0000000000009</v>
      </c>
      <c r="U25" s="696">
        <f>Calculations!U49</f>
        <v>833.33333333333337</v>
      </c>
      <c r="V25" s="696">
        <f>Calculations!V49</f>
        <v>833.33333333333337</v>
      </c>
      <c r="W25" s="696">
        <f>Calculations!W49</f>
        <v>833.33333333333337</v>
      </c>
      <c r="X25" s="696">
        <f>Calculations!X49</f>
        <v>833.33333333333337</v>
      </c>
      <c r="Y25" s="696">
        <f>Calculations!Y49</f>
        <v>833.33333333333337</v>
      </c>
      <c r="Z25" s="696">
        <f>Calculations!Z49</f>
        <v>833.33333333333337</v>
      </c>
      <c r="AA25" s="696">
        <f>Calculations!AA49</f>
        <v>833.33333333333337</v>
      </c>
      <c r="AB25" s="696">
        <f>Calculations!AB49</f>
        <v>833.33333333333337</v>
      </c>
      <c r="AC25" s="696">
        <f>Calculations!AC49</f>
        <v>833.33333333333337</v>
      </c>
      <c r="AD25" s="696">
        <f>Calculations!AD49</f>
        <v>833.33333333333337</v>
      </c>
      <c r="AE25" s="696">
        <f>Calculations!AE49</f>
        <v>833.33333333333337</v>
      </c>
      <c r="AF25" s="696">
        <f>Calculations!AF49</f>
        <v>833.33333333333337</v>
      </c>
      <c r="AG25" s="814">
        <f t="shared" si="56"/>
        <v>10000</v>
      </c>
      <c r="AH25" s="979">
        <f>Calculations!AH49</f>
        <v>11000</v>
      </c>
      <c r="AI25" s="979">
        <f>Calculations!AI49</f>
        <v>12100.000000000002</v>
      </c>
      <c r="AJ25" s="979">
        <f>Calculations!AJ49</f>
        <v>13310.000000000004</v>
      </c>
      <c r="AK25" s="979">
        <f>Calculations!AK49</f>
        <v>14641.000000000005</v>
      </c>
      <c r="AL25" s="979">
        <f>Calculations!AL49</f>
        <v>16105.100000000008</v>
      </c>
      <c r="AM25" s="979">
        <f>Calculations!AM49</f>
        <v>17715.610000000011</v>
      </c>
      <c r="AN25" s="979">
        <f>Calculations!AN49</f>
        <v>19487.171000000013</v>
      </c>
      <c r="AO25" s="979">
        <f>Calculations!AO49</f>
        <v>21435.888100000015</v>
      </c>
      <c r="AP25"/>
      <c r="AQ25"/>
      <c r="CR25" s="498"/>
      <c r="CS25" s="482">
        <f t="shared" si="57"/>
        <v>666.66666666666663</v>
      </c>
      <c r="CT25" s="482">
        <f t="shared" si="58"/>
        <v>666.66666666666663</v>
      </c>
      <c r="CU25" s="482">
        <f t="shared" si="59"/>
        <v>666.66666666666663</v>
      </c>
      <c r="CV25" s="482">
        <f t="shared" si="60"/>
        <v>666.66666666666663</v>
      </c>
      <c r="CW25" s="482">
        <f t="shared" si="61"/>
        <v>666.66666666666663</v>
      </c>
      <c r="CX25" s="482">
        <f t="shared" si="62"/>
        <v>666.66666666666663</v>
      </c>
      <c r="CY25" s="482">
        <f t="shared" si="63"/>
        <v>666.66666666666663</v>
      </c>
      <c r="CZ25" s="482">
        <f t="shared" si="64"/>
        <v>666.66666666666663</v>
      </c>
      <c r="DA25" s="482">
        <f t="shared" si="65"/>
        <v>666.66666666666663</v>
      </c>
      <c r="DB25" s="482">
        <f t="shared" si="66"/>
        <v>666.66666666666663</v>
      </c>
      <c r="DC25" s="482">
        <f t="shared" si="67"/>
        <v>666.66666666666663</v>
      </c>
      <c r="DD25" s="482">
        <f t="shared" si="68"/>
        <v>666.66666666666663</v>
      </c>
      <c r="DE25" s="103">
        <f t="shared" si="69"/>
        <v>8000.0000000000009</v>
      </c>
      <c r="DF25" s="483" t="e">
        <f>IF(PS_AnnualDetail,AG25,#REF!)</f>
        <v>#REF!</v>
      </c>
      <c r="DG25" s="484">
        <f t="shared" si="70"/>
        <v>11000</v>
      </c>
      <c r="DH25" s="483">
        <f t="shared" si="71"/>
        <v>12100.000000000002</v>
      </c>
      <c r="DI25" s="484">
        <f t="shared" si="72"/>
        <v>13310.000000000004</v>
      </c>
      <c r="DJ25"/>
      <c r="DK25" s="245"/>
      <c r="DL25" s="93">
        <f t="shared" si="73"/>
        <v>0</v>
      </c>
      <c r="DM25" s="93">
        <f t="shared" si="74"/>
        <v>0</v>
      </c>
      <c r="DN25" s="93">
        <f t="shared" si="75"/>
        <v>0</v>
      </c>
      <c r="DO25" s="93">
        <f t="shared" si="76"/>
        <v>0</v>
      </c>
      <c r="DP25" s="93">
        <f t="shared" si="77"/>
        <v>0</v>
      </c>
      <c r="DQ25" s="93">
        <f t="shared" si="78"/>
        <v>0</v>
      </c>
      <c r="DR25" s="93">
        <f t="shared" si="79"/>
        <v>0</v>
      </c>
      <c r="DS25" s="93">
        <f t="shared" si="80"/>
        <v>0</v>
      </c>
      <c r="DT25" s="93">
        <f t="shared" si="81"/>
        <v>0</v>
      </c>
      <c r="DU25" s="93">
        <f t="shared" si="82"/>
        <v>0</v>
      </c>
      <c r="DV25" s="93">
        <f t="shared" si="83"/>
        <v>0</v>
      </c>
      <c r="DW25" s="93">
        <f t="shared" si="84"/>
        <v>0</v>
      </c>
      <c r="DX25" s="94">
        <f t="shared" si="85"/>
        <v>0</v>
      </c>
      <c r="DY25" s="215" t="e">
        <f>IF(PS_AnnualDetail,AG25,#REF!)-DF25</f>
        <v>#REF!</v>
      </c>
      <c r="DZ25" s="94">
        <f t="shared" si="86"/>
        <v>0</v>
      </c>
      <c r="EA25" s="93">
        <f t="shared" si="87"/>
        <v>0</v>
      </c>
      <c r="EB25" s="94">
        <f t="shared" si="88"/>
        <v>0</v>
      </c>
      <c r="EC25"/>
    </row>
    <row r="26" spans="1:133" ht="12.4" customHeight="1" x14ac:dyDescent="0.2">
      <c r="A26" s="705" t="s">
        <v>88</v>
      </c>
      <c r="B26" s="654">
        <v>0.15</v>
      </c>
      <c r="C26" s="696">
        <f>Calculations!C76</f>
        <v>0</v>
      </c>
      <c r="D26" s="696">
        <f>Calculations!D76</f>
        <v>26000</v>
      </c>
      <c r="E26" s="696">
        <f>Calculations!E76</f>
        <v>0</v>
      </c>
      <c r="F26" s="696">
        <f>Calculations!F76</f>
        <v>0</v>
      </c>
      <c r="G26" s="814">
        <f t="shared" si="55"/>
        <v>26000</v>
      </c>
      <c r="H26" s="696">
        <f>Calculations!H76</f>
        <v>173000</v>
      </c>
      <c r="I26" s="696">
        <f>Calculations!I76</f>
        <v>173000</v>
      </c>
      <c r="J26" s="696">
        <f>Calculations!J76</f>
        <v>149000</v>
      </c>
      <c r="K26" s="696">
        <f>Calculations!K76</f>
        <v>5000</v>
      </c>
      <c r="L26" s="696">
        <f>Calculations!L76</f>
        <v>0</v>
      </c>
      <c r="M26" s="696">
        <f>Calculations!M76</f>
        <v>0</v>
      </c>
      <c r="N26" s="696">
        <f>Calculations!N76</f>
        <v>0</v>
      </c>
      <c r="O26" s="696">
        <f>Calculations!O76</f>
        <v>0</v>
      </c>
      <c r="P26" s="696">
        <f>Calculations!P76</f>
        <v>0</v>
      </c>
      <c r="Q26" s="696">
        <f>Calculations!Q76</f>
        <v>0</v>
      </c>
      <c r="R26" s="696">
        <f>Calculations!R76</f>
        <v>0</v>
      </c>
      <c r="S26" s="696">
        <f>Calculations!S76</f>
        <v>0</v>
      </c>
      <c r="T26" s="814">
        <f t="shared" si="89"/>
        <v>500000</v>
      </c>
      <c r="U26" s="696">
        <f>Calculations!U76</f>
        <v>0</v>
      </c>
      <c r="V26" s="696">
        <f>Calculations!V76</f>
        <v>0</v>
      </c>
      <c r="W26" s="696">
        <f>Calculations!W76</f>
        <v>0</v>
      </c>
      <c r="X26" s="696">
        <f>Calculations!X76</f>
        <v>0</v>
      </c>
      <c r="Y26" s="696">
        <f>Calculations!Y76</f>
        <v>0</v>
      </c>
      <c r="Z26" s="696">
        <f>Calculations!Z76</f>
        <v>0</v>
      </c>
      <c r="AA26" s="696">
        <f>Calculations!AA76</f>
        <v>265000</v>
      </c>
      <c r="AB26" s="696">
        <f>Calculations!AB76</f>
        <v>0</v>
      </c>
      <c r="AC26" s="696">
        <f>Calculations!AC76</f>
        <v>0</v>
      </c>
      <c r="AD26" s="696">
        <f>Calculations!AD76</f>
        <v>0</v>
      </c>
      <c r="AE26" s="696">
        <f>Calculations!AE76</f>
        <v>0</v>
      </c>
      <c r="AF26" s="696">
        <f>Calculations!AF76</f>
        <v>0</v>
      </c>
      <c r="AG26" s="814">
        <f t="shared" si="56"/>
        <v>265000</v>
      </c>
      <c r="AH26" s="979">
        <f>Calculations!AH76</f>
        <v>20000</v>
      </c>
      <c r="AI26" s="979">
        <f>Calculations!AI76</f>
        <v>20000</v>
      </c>
      <c r="AJ26" s="979">
        <f>Calculations!AJ76</f>
        <v>20000</v>
      </c>
      <c r="AK26" s="979">
        <f>Calculations!AK76</f>
        <v>20000</v>
      </c>
      <c r="AL26" s="979">
        <f>Calculations!AL76</f>
        <v>20000</v>
      </c>
      <c r="AM26" s="979">
        <f>Calculations!AM76</f>
        <v>20000</v>
      </c>
      <c r="AN26" s="979">
        <f>Calculations!AN76</f>
        <v>20000</v>
      </c>
      <c r="AO26" s="979">
        <f>Calculations!AO76</f>
        <v>20000</v>
      </c>
      <c r="AP26"/>
      <c r="AQ26"/>
      <c r="CR26" s="498"/>
      <c r="CS26" s="482">
        <f t="shared" si="57"/>
        <v>173000</v>
      </c>
      <c r="CT26" s="482">
        <f t="shared" si="58"/>
        <v>173000</v>
      </c>
      <c r="CU26" s="482">
        <f t="shared" si="59"/>
        <v>149000</v>
      </c>
      <c r="CV26" s="482">
        <f t="shared" si="60"/>
        <v>5000</v>
      </c>
      <c r="CW26" s="482">
        <f t="shared" si="61"/>
        <v>0</v>
      </c>
      <c r="CX26" s="482">
        <f t="shared" si="62"/>
        <v>0</v>
      </c>
      <c r="CY26" s="482">
        <f t="shared" si="63"/>
        <v>0</v>
      </c>
      <c r="CZ26" s="482">
        <f t="shared" si="64"/>
        <v>0</v>
      </c>
      <c r="DA26" s="482">
        <f t="shared" si="65"/>
        <v>0</v>
      </c>
      <c r="DB26" s="482">
        <f t="shared" si="66"/>
        <v>0</v>
      </c>
      <c r="DC26" s="482">
        <f t="shared" si="67"/>
        <v>0</v>
      </c>
      <c r="DD26" s="482">
        <f t="shared" si="68"/>
        <v>0</v>
      </c>
      <c r="DE26" s="103">
        <f t="shared" si="69"/>
        <v>500000</v>
      </c>
      <c r="DF26" s="483" t="e">
        <f>IF(PS_AnnualDetail,AG26,#REF!)</f>
        <v>#REF!</v>
      </c>
      <c r="DG26" s="484">
        <f t="shared" si="70"/>
        <v>20000</v>
      </c>
      <c r="DH26" s="483">
        <f t="shared" si="71"/>
        <v>20000</v>
      </c>
      <c r="DI26" s="484">
        <f t="shared" si="72"/>
        <v>20000</v>
      </c>
      <c r="DJ26"/>
      <c r="DK26" s="245"/>
      <c r="DL26" s="93">
        <f t="shared" si="73"/>
        <v>0</v>
      </c>
      <c r="DM26" s="93">
        <f t="shared" si="74"/>
        <v>0</v>
      </c>
      <c r="DN26" s="93">
        <f t="shared" si="75"/>
        <v>0</v>
      </c>
      <c r="DO26" s="93">
        <f t="shared" si="76"/>
        <v>0</v>
      </c>
      <c r="DP26" s="93">
        <f t="shared" si="77"/>
        <v>0</v>
      </c>
      <c r="DQ26" s="93">
        <f t="shared" si="78"/>
        <v>0</v>
      </c>
      <c r="DR26" s="93">
        <f t="shared" si="79"/>
        <v>0</v>
      </c>
      <c r="DS26" s="93">
        <f t="shared" si="80"/>
        <v>0</v>
      </c>
      <c r="DT26" s="93">
        <f t="shared" si="81"/>
        <v>0</v>
      </c>
      <c r="DU26" s="93">
        <f t="shared" si="82"/>
        <v>0</v>
      </c>
      <c r="DV26" s="93">
        <f t="shared" si="83"/>
        <v>0</v>
      </c>
      <c r="DW26" s="93">
        <f t="shared" si="84"/>
        <v>0</v>
      </c>
      <c r="DX26" s="94">
        <f t="shared" si="85"/>
        <v>0</v>
      </c>
      <c r="DY26" s="215" t="e">
        <f>IF(PS_AnnualDetail,AG26,#REF!)-DF26</f>
        <v>#REF!</v>
      </c>
      <c r="DZ26" s="94">
        <f t="shared" si="86"/>
        <v>0</v>
      </c>
      <c r="EA26" s="93">
        <f t="shared" si="87"/>
        <v>0</v>
      </c>
      <c r="EB26" s="94">
        <f t="shared" si="88"/>
        <v>0</v>
      </c>
      <c r="EC26"/>
    </row>
    <row r="27" spans="1:133" ht="12.4" customHeight="1" x14ac:dyDescent="0.2">
      <c r="A27" s="705" t="s">
        <v>13</v>
      </c>
      <c r="B27" s="654">
        <v>0.15</v>
      </c>
      <c r="C27" s="696">
        <f>Calculations!C93</f>
        <v>0</v>
      </c>
      <c r="D27" s="696">
        <f>Calculations!D93</f>
        <v>26300</v>
      </c>
      <c r="E27" s="696">
        <f>Calculations!E93</f>
        <v>0</v>
      </c>
      <c r="F27" s="696">
        <f>Calculations!F93</f>
        <v>0</v>
      </c>
      <c r="G27" s="814">
        <f t="shared" si="55"/>
        <v>26300</v>
      </c>
      <c r="H27" s="696">
        <f>Calculations!H93</f>
        <v>0</v>
      </c>
      <c r="I27" s="696">
        <f>Calculations!I93</f>
        <v>0</v>
      </c>
      <c r="J27" s="696">
        <f>Calculations!J93</f>
        <v>0</v>
      </c>
      <c r="K27" s="696">
        <f>Calculations!K93</f>
        <v>0</v>
      </c>
      <c r="L27" s="696">
        <f>Calculations!L93</f>
        <v>0</v>
      </c>
      <c r="M27" s="696">
        <f>Calculations!M93</f>
        <v>0</v>
      </c>
      <c r="N27" s="696">
        <f>Calculations!N93</f>
        <v>0</v>
      </c>
      <c r="O27" s="696">
        <f>Calculations!O93</f>
        <v>0</v>
      </c>
      <c r="P27" s="696">
        <f>Calculations!P93</f>
        <v>0</v>
      </c>
      <c r="Q27" s="696">
        <f>Calculations!Q93</f>
        <v>0</v>
      </c>
      <c r="R27" s="696">
        <f>Calculations!R93</f>
        <v>0</v>
      </c>
      <c r="S27" s="696">
        <f>Calculations!S93</f>
        <v>0</v>
      </c>
      <c r="T27" s="814">
        <f t="shared" si="89"/>
        <v>0</v>
      </c>
      <c r="U27" s="696">
        <f>Calculations!U93</f>
        <v>0</v>
      </c>
      <c r="V27" s="696">
        <f>Calculations!V93</f>
        <v>0</v>
      </c>
      <c r="W27" s="696">
        <f>Calculations!W93</f>
        <v>0</v>
      </c>
      <c r="X27" s="696">
        <f>Calculations!X93</f>
        <v>0</v>
      </c>
      <c r="Y27" s="696">
        <f>Calculations!Y93</f>
        <v>0</v>
      </c>
      <c r="Z27" s="696">
        <f>Calculations!Z93</f>
        <v>0</v>
      </c>
      <c r="AA27" s="696">
        <f>Calculations!AA93</f>
        <v>2000</v>
      </c>
      <c r="AB27" s="696">
        <f>Calculations!AB93</f>
        <v>2000</v>
      </c>
      <c r="AC27" s="696">
        <f>Calculations!AC93</f>
        <v>2000</v>
      </c>
      <c r="AD27" s="696">
        <f>Calculations!AD93</f>
        <v>2000</v>
      </c>
      <c r="AE27" s="696">
        <f>Calculations!AE93</f>
        <v>2000</v>
      </c>
      <c r="AF27" s="696">
        <f>Calculations!AF93</f>
        <v>2000</v>
      </c>
      <c r="AG27" s="814">
        <f t="shared" si="56"/>
        <v>12000</v>
      </c>
      <c r="AH27" s="979">
        <f>Calculations!AH93</f>
        <v>12000</v>
      </c>
      <c r="AI27" s="979">
        <f>Calculations!AI93</f>
        <v>12000</v>
      </c>
      <c r="AJ27" s="979">
        <f>Calculations!AJ93</f>
        <v>12000</v>
      </c>
      <c r="AK27" s="979">
        <f>Calculations!AK93</f>
        <v>12000</v>
      </c>
      <c r="AL27" s="979">
        <f>Calculations!AL93</f>
        <v>12000</v>
      </c>
      <c r="AM27" s="979">
        <f>Calculations!AM93</f>
        <v>12000</v>
      </c>
      <c r="AN27" s="979">
        <f>Calculations!AN93</f>
        <v>12000</v>
      </c>
      <c r="AO27" s="979">
        <f>Calculations!AO93</f>
        <v>12000</v>
      </c>
      <c r="AP27"/>
      <c r="AQ27"/>
      <c r="CR27" s="498"/>
      <c r="CS27" s="482">
        <f t="shared" si="57"/>
        <v>0</v>
      </c>
      <c r="CT27" s="482">
        <f t="shared" si="58"/>
        <v>0</v>
      </c>
      <c r="CU27" s="482">
        <f t="shared" si="59"/>
        <v>0</v>
      </c>
      <c r="CV27" s="482">
        <f t="shared" si="60"/>
        <v>0</v>
      </c>
      <c r="CW27" s="482">
        <f t="shared" si="61"/>
        <v>0</v>
      </c>
      <c r="CX27" s="482">
        <f t="shared" si="62"/>
        <v>0</v>
      </c>
      <c r="CY27" s="482">
        <f t="shared" si="63"/>
        <v>0</v>
      </c>
      <c r="CZ27" s="482">
        <f t="shared" si="64"/>
        <v>0</v>
      </c>
      <c r="DA27" s="482">
        <f t="shared" si="65"/>
        <v>0</v>
      </c>
      <c r="DB27" s="482">
        <f t="shared" si="66"/>
        <v>0</v>
      </c>
      <c r="DC27" s="482">
        <f t="shared" si="67"/>
        <v>0</v>
      </c>
      <c r="DD27" s="482">
        <f t="shared" si="68"/>
        <v>0</v>
      </c>
      <c r="DE27" s="103">
        <f t="shared" si="69"/>
        <v>0</v>
      </c>
      <c r="DF27" s="483" t="e">
        <f>IF(PS_AnnualDetail,AG27,#REF!)</f>
        <v>#REF!</v>
      </c>
      <c r="DG27" s="484">
        <f t="shared" si="70"/>
        <v>12000</v>
      </c>
      <c r="DH27" s="483">
        <f t="shared" si="71"/>
        <v>12000</v>
      </c>
      <c r="DI27" s="484">
        <f t="shared" si="72"/>
        <v>12000</v>
      </c>
      <c r="DJ27"/>
      <c r="DK27" s="245"/>
      <c r="DL27" s="93">
        <f t="shared" si="73"/>
        <v>0</v>
      </c>
      <c r="DM27" s="93">
        <f t="shared" si="74"/>
        <v>0</v>
      </c>
      <c r="DN27" s="93">
        <f t="shared" si="75"/>
        <v>0</v>
      </c>
      <c r="DO27" s="93">
        <f t="shared" si="76"/>
        <v>0</v>
      </c>
      <c r="DP27" s="93">
        <f t="shared" si="77"/>
        <v>0</v>
      </c>
      <c r="DQ27" s="93">
        <f t="shared" si="78"/>
        <v>0</v>
      </c>
      <c r="DR27" s="93">
        <f t="shared" si="79"/>
        <v>0</v>
      </c>
      <c r="DS27" s="93">
        <f t="shared" si="80"/>
        <v>0</v>
      </c>
      <c r="DT27" s="93">
        <f t="shared" si="81"/>
        <v>0</v>
      </c>
      <c r="DU27" s="93">
        <f t="shared" si="82"/>
        <v>0</v>
      </c>
      <c r="DV27" s="93">
        <f t="shared" si="83"/>
        <v>0</v>
      </c>
      <c r="DW27" s="93">
        <f t="shared" si="84"/>
        <v>0</v>
      </c>
      <c r="DX27" s="94">
        <f t="shared" si="85"/>
        <v>0</v>
      </c>
      <c r="DY27" s="215" t="e">
        <f>IF(PS_AnnualDetail,AG27,#REF!)-DF27</f>
        <v>#REF!</v>
      </c>
      <c r="DZ27" s="94">
        <f t="shared" si="86"/>
        <v>0</v>
      </c>
      <c r="EA27" s="93">
        <f t="shared" si="87"/>
        <v>0</v>
      </c>
      <c r="EB27" s="94">
        <f t="shared" si="88"/>
        <v>0</v>
      </c>
      <c r="EC27"/>
    </row>
    <row r="28" spans="1:133" ht="12.4" customHeight="1" x14ac:dyDescent="0.2">
      <c r="A28" s="705" t="s">
        <v>228</v>
      </c>
      <c r="B28" s="654">
        <v>0.15</v>
      </c>
      <c r="C28" s="696">
        <f>Calculations!C107</f>
        <v>0</v>
      </c>
      <c r="D28" s="696">
        <f>Calculations!D107</f>
        <v>0</v>
      </c>
      <c r="E28" s="696">
        <f>Calculations!E107</f>
        <v>0</v>
      </c>
      <c r="F28" s="696">
        <f>Calculations!F107</f>
        <v>0</v>
      </c>
      <c r="G28" s="814">
        <f t="shared" si="55"/>
        <v>0</v>
      </c>
      <c r="H28" s="696">
        <f>Calculations!H107</f>
        <v>39002</v>
      </c>
      <c r="I28" s="696">
        <f>Calculations!I107</f>
        <v>0</v>
      </c>
      <c r="J28" s="696">
        <f>Calculations!J107</f>
        <v>0</v>
      </c>
      <c r="K28" s="696">
        <f>Calculations!K107</f>
        <v>0</v>
      </c>
      <c r="L28" s="696">
        <f>Calculations!L107</f>
        <v>0</v>
      </c>
      <c r="M28" s="696">
        <f>Calculations!M107</f>
        <v>0</v>
      </c>
      <c r="N28" s="696">
        <f>Calculations!N107</f>
        <v>0</v>
      </c>
      <c r="O28" s="696">
        <f>Calculations!O107</f>
        <v>0</v>
      </c>
      <c r="P28" s="696">
        <f>Calculations!P107</f>
        <v>0</v>
      </c>
      <c r="Q28" s="696">
        <f>Calculations!Q107</f>
        <v>2702</v>
      </c>
      <c r="R28" s="696">
        <f>Calculations!R107</f>
        <v>2702</v>
      </c>
      <c r="S28" s="696">
        <f>Calculations!S107</f>
        <v>2702</v>
      </c>
      <c r="T28" s="814">
        <f t="shared" si="89"/>
        <v>47108</v>
      </c>
      <c r="U28" s="696">
        <f>Calculations!U107</f>
        <v>9175.5</v>
      </c>
      <c r="V28" s="696">
        <f>Calculations!V107</f>
        <v>675.5</v>
      </c>
      <c r="W28" s="696">
        <f>Calculations!W107</f>
        <v>675.5</v>
      </c>
      <c r="X28" s="696">
        <f>Calculations!X107</f>
        <v>675.5</v>
      </c>
      <c r="Y28" s="696">
        <f>Calculations!Y107</f>
        <v>675.5</v>
      </c>
      <c r="Z28" s="696">
        <f>Calculations!Z107</f>
        <v>675.5</v>
      </c>
      <c r="AA28" s="696">
        <f>Calculations!AA107</f>
        <v>677.5</v>
      </c>
      <c r="AB28" s="696">
        <f>Calculations!AB107</f>
        <v>675.5</v>
      </c>
      <c r="AC28" s="696">
        <f>Calculations!AC107</f>
        <v>675.5</v>
      </c>
      <c r="AD28" s="696">
        <f>Calculations!AD107</f>
        <v>675.5</v>
      </c>
      <c r="AE28" s="696">
        <f>Calculations!AE107</f>
        <v>675.5</v>
      </c>
      <c r="AF28" s="696">
        <f>Calculations!AF107</f>
        <v>675.5</v>
      </c>
      <c r="AG28" s="814">
        <f t="shared" si="56"/>
        <v>16608</v>
      </c>
      <c r="AH28" s="979">
        <f>Calculations!AH107</f>
        <v>38608</v>
      </c>
      <c r="AI28" s="979">
        <f>Calculations!AI107</f>
        <v>38608</v>
      </c>
      <c r="AJ28" s="979">
        <f>Calculations!AJ107</f>
        <v>38608</v>
      </c>
      <c r="AK28" s="979">
        <f>Calculations!AK107</f>
        <v>38608</v>
      </c>
      <c r="AL28" s="979">
        <f>Calculations!AL107</f>
        <v>38608</v>
      </c>
      <c r="AM28" s="979">
        <f>Calculations!AM107</f>
        <v>38608</v>
      </c>
      <c r="AN28" s="979">
        <f>Calculations!AN107</f>
        <v>34560</v>
      </c>
      <c r="AO28" s="979">
        <f>Calculations!AO107</f>
        <v>34560</v>
      </c>
      <c r="AP28"/>
      <c r="AQ28"/>
      <c r="CR28" s="498"/>
      <c r="CS28" s="482">
        <f t="shared" si="57"/>
        <v>39002</v>
      </c>
      <c r="CT28" s="482">
        <f t="shared" si="58"/>
        <v>0</v>
      </c>
      <c r="CU28" s="482">
        <f t="shared" si="59"/>
        <v>0</v>
      </c>
      <c r="CV28" s="482">
        <f t="shared" si="60"/>
        <v>0</v>
      </c>
      <c r="CW28" s="482">
        <f t="shared" si="61"/>
        <v>0</v>
      </c>
      <c r="CX28" s="482">
        <f t="shared" si="62"/>
        <v>0</v>
      </c>
      <c r="CY28" s="482">
        <f t="shared" si="63"/>
        <v>0</v>
      </c>
      <c r="CZ28" s="482">
        <f t="shared" si="64"/>
        <v>0</v>
      </c>
      <c r="DA28" s="482">
        <f t="shared" si="65"/>
        <v>0</v>
      </c>
      <c r="DB28" s="482">
        <f t="shared" si="66"/>
        <v>2702</v>
      </c>
      <c r="DC28" s="482">
        <f t="shared" si="67"/>
        <v>2702</v>
      </c>
      <c r="DD28" s="482">
        <f t="shared" si="68"/>
        <v>2702</v>
      </c>
      <c r="DE28" s="103">
        <f t="shared" si="69"/>
        <v>47108</v>
      </c>
      <c r="DF28" s="483" t="e">
        <f>IF(PS_AnnualDetail,AG28,#REF!)</f>
        <v>#REF!</v>
      </c>
      <c r="DG28" s="484">
        <f t="shared" si="70"/>
        <v>38608</v>
      </c>
      <c r="DH28" s="483">
        <f t="shared" si="71"/>
        <v>38608</v>
      </c>
      <c r="DI28" s="484">
        <f t="shared" si="72"/>
        <v>38608</v>
      </c>
      <c r="DJ28"/>
      <c r="DK28" s="245"/>
      <c r="DL28" s="93">
        <f t="shared" si="73"/>
        <v>0</v>
      </c>
      <c r="DM28" s="93">
        <f t="shared" si="74"/>
        <v>0</v>
      </c>
      <c r="DN28" s="93">
        <f t="shared" si="75"/>
        <v>0</v>
      </c>
      <c r="DO28" s="93">
        <f t="shared" si="76"/>
        <v>0</v>
      </c>
      <c r="DP28" s="93">
        <f t="shared" si="77"/>
        <v>0</v>
      </c>
      <c r="DQ28" s="93">
        <f t="shared" si="78"/>
        <v>0</v>
      </c>
      <c r="DR28" s="93">
        <f t="shared" si="79"/>
        <v>0</v>
      </c>
      <c r="DS28" s="93">
        <f t="shared" si="80"/>
        <v>0</v>
      </c>
      <c r="DT28" s="93">
        <f t="shared" si="81"/>
        <v>0</v>
      </c>
      <c r="DU28" s="93">
        <f t="shared" si="82"/>
        <v>0</v>
      </c>
      <c r="DV28" s="93">
        <f t="shared" si="83"/>
        <v>0</v>
      </c>
      <c r="DW28" s="93">
        <f t="shared" si="84"/>
        <v>0</v>
      </c>
      <c r="DX28" s="94">
        <f t="shared" si="85"/>
        <v>0</v>
      </c>
      <c r="DY28" s="215" t="e">
        <f>IF(PS_AnnualDetail,AG28,#REF!)-DF28</f>
        <v>#REF!</v>
      </c>
      <c r="DZ28" s="94">
        <f t="shared" si="86"/>
        <v>0</v>
      </c>
      <c r="EA28" s="93">
        <f t="shared" si="87"/>
        <v>0</v>
      </c>
      <c r="EB28" s="94">
        <f t="shared" si="88"/>
        <v>0</v>
      </c>
      <c r="EC28"/>
    </row>
    <row r="29" spans="1:133" ht="12.4" customHeight="1" x14ac:dyDescent="0.2">
      <c r="A29" s="705" t="s">
        <v>134</v>
      </c>
      <c r="B29" s="654">
        <v>0.15</v>
      </c>
      <c r="C29" s="696">
        <f>Calculations!C110</f>
        <v>0</v>
      </c>
      <c r="D29" s="696">
        <f>Calculations!D110</f>
        <v>0</v>
      </c>
      <c r="E29" s="696">
        <f>Calculations!E110</f>
        <v>0</v>
      </c>
      <c r="F29" s="696">
        <f>Calculations!F110</f>
        <v>0</v>
      </c>
      <c r="G29" s="814">
        <f t="shared" si="55"/>
        <v>0</v>
      </c>
      <c r="H29" s="696">
        <f>Calculations!H110</f>
        <v>250</v>
      </c>
      <c r="I29" s="696">
        <f>Calculations!I110</f>
        <v>250</v>
      </c>
      <c r="J29" s="696">
        <f>Calculations!J110</f>
        <v>250</v>
      </c>
      <c r="K29" s="696">
        <f>Calculations!K110</f>
        <v>250</v>
      </c>
      <c r="L29" s="696">
        <f>Calculations!L110</f>
        <v>250</v>
      </c>
      <c r="M29" s="696">
        <f>Calculations!M110</f>
        <v>250</v>
      </c>
      <c r="N29" s="696">
        <f>Calculations!N110</f>
        <v>250</v>
      </c>
      <c r="O29" s="696">
        <f>Calculations!O110</f>
        <v>250</v>
      </c>
      <c r="P29" s="696">
        <f>Calculations!P110</f>
        <v>250</v>
      </c>
      <c r="Q29" s="696">
        <f>Calculations!Q110</f>
        <v>250</v>
      </c>
      <c r="R29" s="696">
        <f>Calculations!R110</f>
        <v>250</v>
      </c>
      <c r="S29" s="696">
        <f>Calculations!S110</f>
        <v>250</v>
      </c>
      <c r="T29" s="814">
        <f t="shared" si="89"/>
        <v>3000</v>
      </c>
      <c r="U29" s="696">
        <f>Calculations!U110</f>
        <v>312.5</v>
      </c>
      <c r="V29" s="696">
        <f>Calculations!V110</f>
        <v>312.5</v>
      </c>
      <c r="W29" s="696">
        <f>Calculations!W110</f>
        <v>312.5</v>
      </c>
      <c r="X29" s="696">
        <f>Calculations!X110</f>
        <v>312.5</v>
      </c>
      <c r="Y29" s="696">
        <f>Calculations!Y110</f>
        <v>312.5</v>
      </c>
      <c r="Z29" s="696">
        <f>Calculations!Z110</f>
        <v>312.5</v>
      </c>
      <c r="AA29" s="696">
        <f>Calculations!AA110</f>
        <v>312.5</v>
      </c>
      <c r="AB29" s="696">
        <f>Calculations!AB110</f>
        <v>312.5</v>
      </c>
      <c r="AC29" s="696">
        <f>Calculations!AC110</f>
        <v>312.5</v>
      </c>
      <c r="AD29" s="696">
        <f>Calculations!AD110</f>
        <v>312.5</v>
      </c>
      <c r="AE29" s="696">
        <f>Calculations!AE110</f>
        <v>312.5</v>
      </c>
      <c r="AF29" s="696">
        <f>Calculations!AF110</f>
        <v>312.5</v>
      </c>
      <c r="AG29" s="814">
        <f t="shared" si="56"/>
        <v>3750</v>
      </c>
      <c r="AH29" s="979">
        <f>Calculations!AH110</f>
        <v>4125</v>
      </c>
      <c r="AI29" s="979">
        <f>Calculations!AI110</f>
        <v>4537.5</v>
      </c>
      <c r="AJ29" s="979">
        <f>Calculations!AJ110</f>
        <v>4991.25</v>
      </c>
      <c r="AK29" s="979">
        <f>Calculations!AK110</f>
        <v>5490.375</v>
      </c>
      <c r="AL29" s="979">
        <f>Calculations!AL110</f>
        <v>6039.4125000000004</v>
      </c>
      <c r="AM29" s="979">
        <f>Calculations!AM110</f>
        <v>6643.3537500000011</v>
      </c>
      <c r="AN29" s="979">
        <f>Calculations!AN110</f>
        <v>7307.6891250000017</v>
      </c>
      <c r="AO29" s="979">
        <f>Calculations!AO110</f>
        <v>8038.4580375000023</v>
      </c>
      <c r="AP29"/>
      <c r="AQ29"/>
      <c r="CR29" s="498"/>
      <c r="CS29" s="482">
        <f t="shared" si="57"/>
        <v>250</v>
      </c>
      <c r="CT29" s="482">
        <f t="shared" si="58"/>
        <v>250</v>
      </c>
      <c r="CU29" s="482">
        <f t="shared" si="59"/>
        <v>250</v>
      </c>
      <c r="CV29" s="482">
        <f t="shared" si="60"/>
        <v>250</v>
      </c>
      <c r="CW29" s="482">
        <f t="shared" si="61"/>
        <v>250</v>
      </c>
      <c r="CX29" s="482">
        <f t="shared" si="62"/>
        <v>250</v>
      </c>
      <c r="CY29" s="482">
        <f t="shared" si="63"/>
        <v>250</v>
      </c>
      <c r="CZ29" s="482">
        <f t="shared" si="64"/>
        <v>250</v>
      </c>
      <c r="DA29" s="482">
        <f t="shared" si="65"/>
        <v>250</v>
      </c>
      <c r="DB29" s="482">
        <f t="shared" si="66"/>
        <v>250</v>
      </c>
      <c r="DC29" s="482">
        <f t="shared" si="67"/>
        <v>250</v>
      </c>
      <c r="DD29" s="482">
        <f t="shared" si="68"/>
        <v>250</v>
      </c>
      <c r="DE29" s="103">
        <f t="shared" si="69"/>
        <v>3000</v>
      </c>
      <c r="DF29" s="483" t="e">
        <f>IF(PS_AnnualDetail,AG29,#REF!)</f>
        <v>#REF!</v>
      </c>
      <c r="DG29" s="484">
        <f t="shared" si="70"/>
        <v>4125</v>
      </c>
      <c r="DH29" s="483">
        <f t="shared" si="71"/>
        <v>4537.5</v>
      </c>
      <c r="DI29" s="484">
        <f t="shared" si="72"/>
        <v>4991.25</v>
      </c>
      <c r="DJ29"/>
      <c r="DK29" s="245"/>
      <c r="DL29" s="93">
        <f t="shared" si="73"/>
        <v>0</v>
      </c>
      <c r="DM29" s="93">
        <f t="shared" si="74"/>
        <v>0</v>
      </c>
      <c r="DN29" s="93">
        <f t="shared" si="75"/>
        <v>0</v>
      </c>
      <c r="DO29" s="93">
        <f t="shared" si="76"/>
        <v>0</v>
      </c>
      <c r="DP29" s="93">
        <f t="shared" si="77"/>
        <v>0</v>
      </c>
      <c r="DQ29" s="93">
        <f t="shared" si="78"/>
        <v>0</v>
      </c>
      <c r="DR29" s="93">
        <f t="shared" si="79"/>
        <v>0</v>
      </c>
      <c r="DS29" s="93">
        <f t="shared" si="80"/>
        <v>0</v>
      </c>
      <c r="DT29" s="93">
        <f t="shared" si="81"/>
        <v>0</v>
      </c>
      <c r="DU29" s="93">
        <f t="shared" si="82"/>
        <v>0</v>
      </c>
      <c r="DV29" s="93">
        <f t="shared" si="83"/>
        <v>0</v>
      </c>
      <c r="DW29" s="93">
        <f t="shared" si="84"/>
        <v>0</v>
      </c>
      <c r="DX29" s="94">
        <f t="shared" si="85"/>
        <v>0</v>
      </c>
      <c r="DY29" s="215" t="e">
        <f>IF(PS_AnnualDetail,AG29,#REF!)-DF29</f>
        <v>#REF!</v>
      </c>
      <c r="DZ29" s="94">
        <f t="shared" si="86"/>
        <v>0</v>
      </c>
      <c r="EA29" s="93">
        <f t="shared" si="87"/>
        <v>0</v>
      </c>
      <c r="EB29" s="94">
        <f t="shared" si="88"/>
        <v>0</v>
      </c>
      <c r="EC29"/>
    </row>
    <row r="30" spans="1:133" ht="12.4" customHeight="1" x14ac:dyDescent="0.2">
      <c r="A30" s="705" t="s">
        <v>62</v>
      </c>
      <c r="B30" s="661">
        <v>0.15</v>
      </c>
      <c r="C30" s="696">
        <f>Calculations!C113</f>
        <v>0</v>
      </c>
      <c r="D30" s="696">
        <f>Calculations!D113</f>
        <v>0</v>
      </c>
      <c r="E30" s="696">
        <f>Calculations!E113</f>
        <v>0</v>
      </c>
      <c r="F30" s="696">
        <f>Calculations!F113</f>
        <v>0</v>
      </c>
      <c r="G30" s="814">
        <f t="shared" si="55"/>
        <v>0</v>
      </c>
      <c r="H30" s="696">
        <f>Calculations!H113</f>
        <v>791.66666666666663</v>
      </c>
      <c r="I30" s="696">
        <f>Calculations!I113</f>
        <v>791.66666666666663</v>
      </c>
      <c r="J30" s="696">
        <f>Calculations!J113</f>
        <v>791.66666666666663</v>
      </c>
      <c r="K30" s="696">
        <f>Calculations!K113</f>
        <v>791.66666666666663</v>
      </c>
      <c r="L30" s="696">
        <f>Calculations!L113</f>
        <v>791.66666666666663</v>
      </c>
      <c r="M30" s="696">
        <f>Calculations!M113</f>
        <v>791.66666666666663</v>
      </c>
      <c r="N30" s="696">
        <f>Calculations!N113</f>
        <v>791.66666666666663</v>
      </c>
      <c r="O30" s="696">
        <f>Calculations!O113</f>
        <v>791.66666666666663</v>
      </c>
      <c r="P30" s="696">
        <f>Calculations!P113</f>
        <v>791.66666666666663</v>
      </c>
      <c r="Q30" s="696">
        <f>Calculations!Q113</f>
        <v>791.66666666666663</v>
      </c>
      <c r="R30" s="696">
        <f>Calculations!R113</f>
        <v>791.66666666666663</v>
      </c>
      <c r="S30" s="696">
        <f>Calculations!S113</f>
        <v>791.66666666666663</v>
      </c>
      <c r="T30" s="814">
        <f t="shared" si="89"/>
        <v>9500</v>
      </c>
      <c r="U30" s="696">
        <f>Calculations!U113</f>
        <v>1187.5</v>
      </c>
      <c r="V30" s="696">
        <f>Calculations!V113</f>
        <v>1187.5</v>
      </c>
      <c r="W30" s="696">
        <f>Calculations!W113</f>
        <v>1187.5</v>
      </c>
      <c r="X30" s="696">
        <f>Calculations!X113</f>
        <v>1187.5</v>
      </c>
      <c r="Y30" s="696">
        <f>Calculations!Y113</f>
        <v>1187.5</v>
      </c>
      <c r="Z30" s="696">
        <f>Calculations!Z113</f>
        <v>1187.5</v>
      </c>
      <c r="AA30" s="696">
        <f>Calculations!AA113</f>
        <v>1187.5</v>
      </c>
      <c r="AB30" s="696">
        <f>Calculations!AB113</f>
        <v>1187.5</v>
      </c>
      <c r="AC30" s="696">
        <f>Calculations!AC113</f>
        <v>1187.5</v>
      </c>
      <c r="AD30" s="696">
        <f>Calculations!AD113</f>
        <v>1187.5</v>
      </c>
      <c r="AE30" s="696">
        <f>Calculations!AE113</f>
        <v>1187.5</v>
      </c>
      <c r="AF30" s="696">
        <f>Calculations!AF113</f>
        <v>1187.5</v>
      </c>
      <c r="AG30" s="814">
        <f t="shared" si="56"/>
        <v>14250</v>
      </c>
      <c r="AH30" s="979">
        <f>Calculations!AH113</f>
        <v>17812.5</v>
      </c>
      <c r="AI30" s="979">
        <f>Calculations!AI113</f>
        <v>19593.75</v>
      </c>
      <c r="AJ30" s="979">
        <f>Calculations!AJ113</f>
        <v>21553.125</v>
      </c>
      <c r="AK30" s="979">
        <f>Calculations!AK113</f>
        <v>23708.437500000004</v>
      </c>
      <c r="AL30" s="979">
        <f>Calculations!AL113</f>
        <v>26079.281250000007</v>
      </c>
      <c r="AM30" s="979">
        <f>Calculations!AM113</f>
        <v>28687.209375000009</v>
      </c>
      <c r="AN30" s="979">
        <f>Calculations!AN113</f>
        <v>31555.930312500011</v>
      </c>
      <c r="AO30" s="979">
        <f>Calculations!AO113</f>
        <v>34711.523343750014</v>
      </c>
      <c r="AP30"/>
      <c r="AQ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34"/>
      <c r="CM30" s="34"/>
      <c r="CN30" s="34"/>
      <c r="CO30" s="34"/>
      <c r="CP30" s="34"/>
      <c r="CR30" s="498"/>
      <c r="CS30" s="482">
        <f t="shared" si="57"/>
        <v>791.66666666666663</v>
      </c>
      <c r="CT30" s="482">
        <f t="shared" si="58"/>
        <v>791.66666666666663</v>
      </c>
      <c r="CU30" s="482">
        <f t="shared" si="59"/>
        <v>791.66666666666663</v>
      </c>
      <c r="CV30" s="482">
        <f t="shared" si="60"/>
        <v>791.66666666666663</v>
      </c>
      <c r="CW30" s="482">
        <f t="shared" si="61"/>
        <v>791.66666666666663</v>
      </c>
      <c r="CX30" s="482">
        <f t="shared" si="62"/>
        <v>791.66666666666663</v>
      </c>
      <c r="CY30" s="482">
        <f t="shared" si="63"/>
        <v>791.66666666666663</v>
      </c>
      <c r="CZ30" s="482">
        <f t="shared" si="64"/>
        <v>791.66666666666663</v>
      </c>
      <c r="DA30" s="482">
        <f t="shared" si="65"/>
        <v>791.66666666666663</v>
      </c>
      <c r="DB30" s="482">
        <f t="shared" si="66"/>
        <v>791.66666666666663</v>
      </c>
      <c r="DC30" s="482">
        <f t="shared" si="67"/>
        <v>791.66666666666663</v>
      </c>
      <c r="DD30" s="482">
        <f t="shared" si="68"/>
        <v>791.66666666666663</v>
      </c>
      <c r="DE30" s="103">
        <f t="shared" si="69"/>
        <v>9500</v>
      </c>
      <c r="DF30" s="483" t="e">
        <f>IF(PS_AnnualDetail,AG30,#REF!)</f>
        <v>#REF!</v>
      </c>
      <c r="DG30" s="484">
        <f t="shared" si="70"/>
        <v>17812.5</v>
      </c>
      <c r="DH30" s="483">
        <f t="shared" si="71"/>
        <v>19593.75</v>
      </c>
      <c r="DI30" s="484">
        <f t="shared" si="72"/>
        <v>21553.125</v>
      </c>
      <c r="DJ30"/>
      <c r="DK30" s="92"/>
      <c r="DL30" s="93">
        <f t="shared" si="73"/>
        <v>0</v>
      </c>
      <c r="DM30" s="93">
        <f t="shared" si="74"/>
        <v>0</v>
      </c>
      <c r="DN30" s="93">
        <f t="shared" si="75"/>
        <v>0</v>
      </c>
      <c r="DO30" s="93">
        <f t="shared" si="76"/>
        <v>0</v>
      </c>
      <c r="DP30" s="93">
        <f t="shared" si="77"/>
        <v>0</v>
      </c>
      <c r="DQ30" s="93">
        <f t="shared" si="78"/>
        <v>0</v>
      </c>
      <c r="DR30" s="93">
        <f t="shared" si="79"/>
        <v>0</v>
      </c>
      <c r="DS30" s="93">
        <f t="shared" si="80"/>
        <v>0</v>
      </c>
      <c r="DT30" s="93">
        <f t="shared" si="81"/>
        <v>0</v>
      </c>
      <c r="DU30" s="93">
        <f t="shared" si="82"/>
        <v>0</v>
      </c>
      <c r="DV30" s="93">
        <f t="shared" si="83"/>
        <v>0</v>
      </c>
      <c r="DW30" s="93">
        <f t="shared" si="84"/>
        <v>0</v>
      </c>
      <c r="DX30" s="94">
        <f t="shared" si="85"/>
        <v>0</v>
      </c>
      <c r="DY30" s="215" t="e">
        <f>IF(PS_AnnualDetail,AG30,#REF!)-DF30</f>
        <v>#REF!</v>
      </c>
      <c r="DZ30" s="94">
        <f t="shared" si="86"/>
        <v>0</v>
      </c>
      <c r="EA30" s="93">
        <f t="shared" si="87"/>
        <v>0</v>
      </c>
      <c r="EB30" s="94">
        <f t="shared" si="88"/>
        <v>0</v>
      </c>
      <c r="EC30"/>
    </row>
    <row r="31" spans="1:133" ht="12.4" customHeight="1" x14ac:dyDescent="0.2">
      <c r="A31" s="705" t="s">
        <v>374</v>
      </c>
      <c r="B31" s="661"/>
      <c r="C31" s="696">
        <f>Calculations!C119</f>
        <v>0</v>
      </c>
      <c r="D31" s="696">
        <f>Calculations!D119</f>
        <v>0</v>
      </c>
      <c r="E31" s="696">
        <f>Calculations!E119</f>
        <v>0</v>
      </c>
      <c r="F31" s="696">
        <f>Calculations!F119</f>
        <v>0</v>
      </c>
      <c r="G31" s="814">
        <f t="shared" si="55"/>
        <v>0</v>
      </c>
      <c r="H31" s="696">
        <f>Calculations!H119</f>
        <v>0</v>
      </c>
      <c r="I31" s="696">
        <f>Calculations!I119</f>
        <v>0</v>
      </c>
      <c r="J31" s="696">
        <f>Calculations!J119</f>
        <v>0</v>
      </c>
      <c r="K31" s="696">
        <f>Calculations!K119</f>
        <v>0</v>
      </c>
      <c r="L31" s="696">
        <f>Calculations!L119</f>
        <v>0</v>
      </c>
      <c r="M31" s="696">
        <f>Calculations!M119</f>
        <v>0</v>
      </c>
      <c r="N31" s="696">
        <f>Calculations!N119</f>
        <v>0</v>
      </c>
      <c r="O31" s="696">
        <f>Calculations!O119</f>
        <v>0</v>
      </c>
      <c r="P31" s="696">
        <f>Calculations!P119</f>
        <v>0</v>
      </c>
      <c r="Q31" s="696">
        <f>Calculations!Q119</f>
        <v>0</v>
      </c>
      <c r="R31" s="696">
        <f>Calculations!R119</f>
        <v>0</v>
      </c>
      <c r="S31" s="696">
        <f>Calculations!S119</f>
        <v>0</v>
      </c>
      <c r="T31" s="814">
        <f t="shared" si="89"/>
        <v>0</v>
      </c>
      <c r="U31" s="696">
        <f>Calculations!U119</f>
        <v>100000</v>
      </c>
      <c r="V31" s="696">
        <f>Calculations!V119</f>
        <v>125000.00000000001</v>
      </c>
      <c r="W31" s="696">
        <f>Calculations!W119</f>
        <v>150000</v>
      </c>
      <c r="X31" s="696">
        <f>Calculations!X119</f>
        <v>175000</v>
      </c>
      <c r="Y31" s="696">
        <f>Calculations!Y119</f>
        <v>195833.33333333334</v>
      </c>
      <c r="Z31" s="696">
        <f>Calculations!Z119</f>
        <v>195833.33333333334</v>
      </c>
      <c r="AA31" s="696">
        <f>Calculations!AA119</f>
        <v>195833.33333333334</v>
      </c>
      <c r="AB31" s="696">
        <f>Calculations!AB119</f>
        <v>195833.33333333334</v>
      </c>
      <c r="AC31" s="696">
        <f>Calculations!AC119</f>
        <v>195833.33333333334</v>
      </c>
      <c r="AD31" s="696">
        <f>Calculations!AD119</f>
        <v>195833.33333333334</v>
      </c>
      <c r="AE31" s="696">
        <f>Calculations!AE119</f>
        <v>195833.33333333334</v>
      </c>
      <c r="AF31" s="696">
        <f>Calculations!AF119</f>
        <v>195833.33333333334</v>
      </c>
      <c r="AG31" s="814">
        <f t="shared" si="56"/>
        <v>2116666.6666666665</v>
      </c>
      <c r="AH31" s="979">
        <f>Calculations!AH119</f>
        <v>2350000</v>
      </c>
      <c r="AI31" s="979">
        <f>Calculations!AI119</f>
        <v>2350000</v>
      </c>
      <c r="AJ31" s="979">
        <f>Calculations!AJ119</f>
        <v>2350000</v>
      </c>
      <c r="AK31" s="979">
        <f>Calculations!AK119</f>
        <v>2350000</v>
      </c>
      <c r="AL31" s="979">
        <f>Calculations!AL119</f>
        <v>2350000</v>
      </c>
      <c r="AM31" s="979">
        <f>Calculations!AM119</f>
        <v>2350000</v>
      </c>
      <c r="AN31" s="979">
        <f>Calculations!AN119</f>
        <v>2350000</v>
      </c>
      <c r="AO31" s="979">
        <f>Calculations!AO119</f>
        <v>2350000</v>
      </c>
      <c r="AP31"/>
      <c r="AQ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34"/>
      <c r="CM31" s="34"/>
      <c r="CN31" s="34"/>
      <c r="CO31" s="34"/>
      <c r="CP31" s="34"/>
      <c r="CR31" s="498"/>
      <c r="CS31" s="482"/>
      <c r="CT31" s="482"/>
      <c r="CU31" s="482"/>
      <c r="CV31" s="482"/>
      <c r="CW31" s="482"/>
      <c r="CX31" s="482"/>
      <c r="CY31" s="482"/>
      <c r="CZ31" s="482"/>
      <c r="DA31" s="482"/>
      <c r="DB31" s="482"/>
      <c r="DC31" s="482"/>
      <c r="DD31" s="482"/>
      <c r="DE31" s="103"/>
      <c r="DF31" s="482"/>
      <c r="DG31" s="484"/>
      <c r="DH31" s="483"/>
      <c r="DI31" s="484"/>
      <c r="DJ31"/>
      <c r="DK31" s="92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4"/>
      <c r="DY31" s="93"/>
      <c r="DZ31" s="94"/>
      <c r="EA31" s="93"/>
      <c r="EB31" s="94"/>
      <c r="EC31"/>
    </row>
    <row r="32" spans="1:133" ht="12.4" customHeight="1" x14ac:dyDescent="0.2">
      <c r="A32" s="705" t="s">
        <v>342</v>
      </c>
      <c r="B32" s="661"/>
      <c r="C32" s="696">
        <f>Calculations!C121</f>
        <v>0</v>
      </c>
      <c r="D32" s="696">
        <f>Calculations!D121</f>
        <v>0</v>
      </c>
      <c r="E32" s="696">
        <f>Calculations!E121</f>
        <v>0</v>
      </c>
      <c r="F32" s="696">
        <f>Calculations!F121</f>
        <v>0</v>
      </c>
      <c r="G32" s="814">
        <f t="shared" si="55"/>
        <v>0</v>
      </c>
      <c r="H32" s="696">
        <f>Calculations!H121</f>
        <v>1666.6666666666667</v>
      </c>
      <c r="I32" s="696">
        <f>Calculations!I121</f>
        <v>1666.6666666666667</v>
      </c>
      <c r="J32" s="696">
        <f>Calculations!J121</f>
        <v>1666.6666666666667</v>
      </c>
      <c r="K32" s="696">
        <f>Calculations!K121</f>
        <v>1666.6666666666667</v>
      </c>
      <c r="L32" s="696">
        <f>Calculations!L121</f>
        <v>1666.6666666666667</v>
      </c>
      <c r="M32" s="696">
        <f>Calculations!M121</f>
        <v>1666.6666666666667</v>
      </c>
      <c r="N32" s="696">
        <f>Calculations!N121</f>
        <v>1666.6666666666667</v>
      </c>
      <c r="O32" s="696">
        <f>Calculations!O121</f>
        <v>1666.6666666666667</v>
      </c>
      <c r="P32" s="696">
        <f>Calculations!P121</f>
        <v>1666.6666666666667</v>
      </c>
      <c r="Q32" s="696">
        <f>Calculations!Q121</f>
        <v>1666.6666666666667</v>
      </c>
      <c r="R32" s="696">
        <f>Calculations!R121</f>
        <v>1666.6666666666667</v>
      </c>
      <c r="S32" s="696">
        <f>Calculations!S121</f>
        <v>1666.6666666666667</v>
      </c>
      <c r="T32" s="814">
        <f t="shared" si="89"/>
        <v>20000</v>
      </c>
      <c r="U32" s="696">
        <f>Calculations!U121</f>
        <v>8333.3333333333339</v>
      </c>
      <c r="V32" s="696">
        <f>Calculations!V121</f>
        <v>8333.3333333333339</v>
      </c>
      <c r="W32" s="696">
        <f>Calculations!W121</f>
        <v>8333.3333333333339</v>
      </c>
      <c r="X32" s="696">
        <f>Calculations!X121</f>
        <v>8333.3333333333339</v>
      </c>
      <c r="Y32" s="696">
        <f>Calculations!Y121</f>
        <v>8333.3333333333339</v>
      </c>
      <c r="Z32" s="696">
        <f>Calculations!Z121</f>
        <v>8333.3333333333339</v>
      </c>
      <c r="AA32" s="696">
        <f>Calculations!AA121</f>
        <v>8333.3333333333339</v>
      </c>
      <c r="AB32" s="696">
        <f>Calculations!AB121</f>
        <v>8333.3333333333339</v>
      </c>
      <c r="AC32" s="696">
        <f>Calculations!AC121</f>
        <v>8333.3333333333339</v>
      </c>
      <c r="AD32" s="696">
        <f>Calculations!AD121</f>
        <v>8333.3333333333339</v>
      </c>
      <c r="AE32" s="696">
        <f>Calculations!AE121</f>
        <v>8333.3333333333339</v>
      </c>
      <c r="AF32" s="696">
        <f>Calculations!AF121</f>
        <v>8333.3333333333339</v>
      </c>
      <c r="AG32" s="814">
        <f t="shared" si="56"/>
        <v>99999.999999999985</v>
      </c>
      <c r="AH32" s="979">
        <f>Calculations!AH121</f>
        <v>100000</v>
      </c>
      <c r="AI32" s="979">
        <f>Calculations!AI121</f>
        <v>100000</v>
      </c>
      <c r="AJ32" s="979">
        <f>Calculations!AJ121</f>
        <v>100000</v>
      </c>
      <c r="AK32" s="979">
        <f>Calculations!AK121</f>
        <v>100000</v>
      </c>
      <c r="AL32" s="979">
        <f>Calculations!AL121</f>
        <v>100000</v>
      </c>
      <c r="AM32" s="979">
        <f>Calculations!AM121</f>
        <v>100000</v>
      </c>
      <c r="AN32" s="979">
        <f>Calculations!AN121</f>
        <v>100000</v>
      </c>
      <c r="AO32" s="979">
        <f>Calculations!AO121</f>
        <v>100000</v>
      </c>
      <c r="AP32"/>
      <c r="AQ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34"/>
      <c r="CM32" s="34"/>
      <c r="CN32" s="34"/>
      <c r="CO32" s="34"/>
      <c r="CP32" s="34"/>
      <c r="CR32" s="498"/>
      <c r="CS32" s="482"/>
      <c r="CT32" s="482"/>
      <c r="CU32" s="482"/>
      <c r="CV32" s="482"/>
      <c r="CW32" s="482"/>
      <c r="CX32" s="482"/>
      <c r="CY32" s="482"/>
      <c r="CZ32" s="482"/>
      <c r="DA32" s="482"/>
      <c r="DB32" s="482"/>
      <c r="DC32" s="482"/>
      <c r="DD32" s="482"/>
      <c r="DE32" s="103"/>
      <c r="DF32" s="482"/>
      <c r="DG32" s="484"/>
      <c r="DH32" s="483"/>
      <c r="DI32" s="484"/>
      <c r="DJ32"/>
      <c r="DK32" s="92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4"/>
      <c r="DY32" s="93"/>
      <c r="DZ32" s="94"/>
      <c r="EA32" s="93"/>
      <c r="EB32" s="94"/>
      <c r="EC32"/>
    </row>
    <row r="33" spans="1:133" ht="12.4" customHeight="1" x14ac:dyDescent="0.2">
      <c r="A33" s="705" t="s">
        <v>413</v>
      </c>
      <c r="B33" s="661"/>
      <c r="C33" s="696">
        <f>Calculations!C124</f>
        <v>0</v>
      </c>
      <c r="D33" s="696">
        <f>Calculations!D124</f>
        <v>0</v>
      </c>
      <c r="E33" s="696">
        <f>Calculations!E124</f>
        <v>0</v>
      </c>
      <c r="F33" s="696">
        <f>Calculations!F124</f>
        <v>0</v>
      </c>
      <c r="G33" s="814">
        <f t="shared" si="55"/>
        <v>0</v>
      </c>
      <c r="H33" s="696">
        <f>Calculations!H124</f>
        <v>833.33333333333337</v>
      </c>
      <c r="I33" s="696">
        <f>Calculations!I124</f>
        <v>833.33333333333337</v>
      </c>
      <c r="J33" s="696">
        <f>Calculations!J124</f>
        <v>833.33333333333337</v>
      </c>
      <c r="K33" s="696">
        <f>Calculations!K124</f>
        <v>833.33333333333337</v>
      </c>
      <c r="L33" s="696">
        <f>Calculations!L124</f>
        <v>833.33333333333337</v>
      </c>
      <c r="M33" s="696">
        <f>Calculations!M124</f>
        <v>833.33333333333337</v>
      </c>
      <c r="N33" s="696">
        <f>Calculations!N124</f>
        <v>833.33333333333337</v>
      </c>
      <c r="O33" s="696">
        <f>Calculations!O124</f>
        <v>833.33333333333337</v>
      </c>
      <c r="P33" s="696">
        <f>Calculations!P124</f>
        <v>833.33333333333337</v>
      </c>
      <c r="Q33" s="696">
        <f>Calculations!Q124</f>
        <v>833.33333333333337</v>
      </c>
      <c r="R33" s="696">
        <f>Calculations!R124</f>
        <v>833.33333333333337</v>
      </c>
      <c r="S33" s="696">
        <f>Calculations!S124</f>
        <v>833.33333333333337</v>
      </c>
      <c r="T33" s="814">
        <f t="shared" si="89"/>
        <v>10000</v>
      </c>
      <c r="U33" s="696">
        <f>Calculations!U124</f>
        <v>833.33333333333337</v>
      </c>
      <c r="V33" s="696">
        <f>Calculations!V124</f>
        <v>833.33333333333337</v>
      </c>
      <c r="W33" s="696">
        <f>Calculations!W124</f>
        <v>833.33333333333337</v>
      </c>
      <c r="X33" s="696">
        <f>Calculations!X124</f>
        <v>833.33333333333337</v>
      </c>
      <c r="Y33" s="696">
        <f>Calculations!Y124</f>
        <v>833.33333333333337</v>
      </c>
      <c r="Z33" s="696">
        <f>Calculations!Z124</f>
        <v>833.33333333333337</v>
      </c>
      <c r="AA33" s="696">
        <f>Calculations!AA124</f>
        <v>833.33333333333337</v>
      </c>
      <c r="AB33" s="696">
        <f>Calculations!AB124</f>
        <v>833.33333333333337</v>
      </c>
      <c r="AC33" s="696">
        <f>Calculations!AC124</f>
        <v>833.33333333333337</v>
      </c>
      <c r="AD33" s="696">
        <f>Calculations!AD124</f>
        <v>833.33333333333337</v>
      </c>
      <c r="AE33" s="696">
        <f>Calculations!AE124</f>
        <v>833.33333333333337</v>
      </c>
      <c r="AF33" s="696">
        <f>Calculations!AF124</f>
        <v>833.33333333333337</v>
      </c>
      <c r="AG33" s="814">
        <f t="shared" si="56"/>
        <v>10000</v>
      </c>
      <c r="AH33" s="979">
        <f>Calculations!AH124</f>
        <v>10000</v>
      </c>
      <c r="AI33" s="979">
        <f>Calculations!AI124</f>
        <v>10000</v>
      </c>
      <c r="AJ33" s="979">
        <f>Calculations!AJ124</f>
        <v>10000</v>
      </c>
      <c r="AK33" s="979">
        <f>Calculations!AK124</f>
        <v>10000</v>
      </c>
      <c r="AL33" s="979">
        <f>Calculations!AL124</f>
        <v>10000</v>
      </c>
      <c r="AM33" s="979">
        <f>Calculations!AM124</f>
        <v>10000</v>
      </c>
      <c r="AN33" s="979">
        <f>Calculations!AN124</f>
        <v>10000</v>
      </c>
      <c r="AO33" s="979">
        <f>Calculations!AO124</f>
        <v>10000</v>
      </c>
      <c r="AP33"/>
      <c r="AQ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34"/>
      <c r="CM33" s="34"/>
      <c r="CN33" s="34"/>
      <c r="CO33" s="34"/>
      <c r="CP33" s="34"/>
      <c r="CR33" s="498"/>
      <c r="CS33" s="482"/>
      <c r="CT33" s="482"/>
      <c r="CU33" s="482"/>
      <c r="CV33" s="482"/>
      <c r="CW33" s="482"/>
      <c r="CX33" s="482"/>
      <c r="CY33" s="482"/>
      <c r="CZ33" s="482"/>
      <c r="DA33" s="482"/>
      <c r="DB33" s="482"/>
      <c r="DC33" s="482"/>
      <c r="DD33" s="482"/>
      <c r="DE33" s="103"/>
      <c r="DF33" s="482"/>
      <c r="DG33" s="484"/>
      <c r="DH33" s="483"/>
      <c r="DI33" s="484"/>
      <c r="DJ33"/>
      <c r="DK33" s="92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4"/>
      <c r="DY33" s="93"/>
      <c r="DZ33" s="94"/>
      <c r="EA33" s="93"/>
      <c r="EB33" s="94"/>
      <c r="EC33"/>
    </row>
    <row r="34" spans="1:133" ht="12.4" customHeight="1" x14ac:dyDescent="0.2">
      <c r="A34" s="705" t="s">
        <v>396</v>
      </c>
      <c r="B34" s="661"/>
      <c r="C34" s="696">
        <f>Calculations!C129</f>
        <v>0</v>
      </c>
      <c r="D34" s="696">
        <f>Calculations!D129</f>
        <v>0</v>
      </c>
      <c r="E34" s="696">
        <f>Calculations!E129</f>
        <v>0</v>
      </c>
      <c r="F34" s="696">
        <f>Calculations!F129</f>
        <v>0</v>
      </c>
      <c r="G34" s="814">
        <f t="shared" si="55"/>
        <v>0</v>
      </c>
      <c r="H34" s="696">
        <f>Calculations!H129</f>
        <v>0</v>
      </c>
      <c r="I34" s="696">
        <f>Calculations!I129</f>
        <v>0</v>
      </c>
      <c r="J34" s="696">
        <f>Calculations!J129</f>
        <v>0</v>
      </c>
      <c r="K34" s="696">
        <f>Calculations!K129</f>
        <v>0</v>
      </c>
      <c r="L34" s="696">
        <f>Calculations!L129</f>
        <v>0</v>
      </c>
      <c r="M34" s="696">
        <f>Calculations!M129</f>
        <v>0</v>
      </c>
      <c r="N34" s="696">
        <f>Calculations!N129</f>
        <v>0</v>
      </c>
      <c r="O34" s="696">
        <f>Calculations!O129</f>
        <v>0</v>
      </c>
      <c r="P34" s="696">
        <f>Calculations!P129</f>
        <v>0</v>
      </c>
      <c r="Q34" s="696">
        <f>Calculations!Q129</f>
        <v>0</v>
      </c>
      <c r="R34" s="696">
        <f>Calculations!R129</f>
        <v>0</v>
      </c>
      <c r="S34" s="696">
        <f>Calculations!S129</f>
        <v>0</v>
      </c>
      <c r="T34" s="814">
        <f t="shared" si="89"/>
        <v>0</v>
      </c>
      <c r="U34" s="696">
        <f>Calculations!U129</f>
        <v>6250.0000000000009</v>
      </c>
      <c r="V34" s="696">
        <f>Calculations!V129</f>
        <v>6250.0000000000009</v>
      </c>
      <c r="W34" s="696">
        <f>Calculations!W129</f>
        <v>6250.0000000000009</v>
      </c>
      <c r="X34" s="696">
        <f>Calculations!X129</f>
        <v>6250.0000000000009</v>
      </c>
      <c r="Y34" s="696">
        <f>Calculations!Y129</f>
        <v>6250.0000000000009</v>
      </c>
      <c r="Z34" s="696">
        <f>Calculations!Z129</f>
        <v>6250.0000000000009</v>
      </c>
      <c r="AA34" s="696">
        <f>Calculations!AA129</f>
        <v>6250.0000000000009</v>
      </c>
      <c r="AB34" s="696">
        <f>Calculations!AB129</f>
        <v>6250.0000000000009</v>
      </c>
      <c r="AC34" s="696">
        <f>Calculations!AC129</f>
        <v>6250.0000000000009</v>
      </c>
      <c r="AD34" s="696">
        <f>Calculations!AD129</f>
        <v>6250.0000000000009</v>
      </c>
      <c r="AE34" s="696">
        <f>Calculations!AE129</f>
        <v>6250.0000000000009</v>
      </c>
      <c r="AF34" s="696">
        <f>Calculations!AF129</f>
        <v>6250.0000000000009</v>
      </c>
      <c r="AG34" s="814">
        <f t="shared" si="56"/>
        <v>75000.000000000015</v>
      </c>
      <c r="AH34" s="979">
        <f>Calculations!AH129</f>
        <v>75000</v>
      </c>
      <c r="AI34" s="979">
        <f>Calculations!AI129</f>
        <v>75000</v>
      </c>
      <c r="AJ34" s="979">
        <f>Calculations!AJ129</f>
        <v>75000</v>
      </c>
      <c r="AK34" s="979">
        <f>Calculations!AK129</f>
        <v>75000</v>
      </c>
      <c r="AL34" s="979">
        <f>Calculations!AL129</f>
        <v>75000</v>
      </c>
      <c r="AM34" s="979">
        <f>Calculations!AM129</f>
        <v>75000</v>
      </c>
      <c r="AN34" s="979">
        <f>Calculations!AN129</f>
        <v>75000</v>
      </c>
      <c r="AO34" s="979">
        <f>Calculations!AO129</f>
        <v>75000</v>
      </c>
      <c r="AP34"/>
      <c r="AQ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34"/>
      <c r="CM34" s="34"/>
      <c r="CN34" s="34"/>
      <c r="CO34" s="34"/>
      <c r="CP34" s="34"/>
      <c r="CR34" s="498"/>
      <c r="CS34" s="482"/>
      <c r="CT34" s="482"/>
      <c r="CU34" s="482"/>
      <c r="CV34" s="482"/>
      <c r="CW34" s="482"/>
      <c r="CX34" s="482"/>
      <c r="CY34" s="482"/>
      <c r="CZ34" s="482"/>
      <c r="DA34" s="482"/>
      <c r="DB34" s="482"/>
      <c r="DC34" s="482"/>
      <c r="DD34" s="482"/>
      <c r="DE34" s="103"/>
      <c r="DF34" s="482"/>
      <c r="DG34" s="484"/>
      <c r="DH34" s="483"/>
      <c r="DI34" s="484"/>
      <c r="DJ34"/>
      <c r="DK34" s="92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4"/>
      <c r="DY34" s="93"/>
      <c r="DZ34" s="94"/>
      <c r="EA34" s="93"/>
      <c r="EB34" s="94"/>
      <c r="EC34"/>
    </row>
    <row r="35" spans="1:133" ht="12.4" customHeight="1" thickBot="1" x14ac:dyDescent="0.25">
      <c r="A35" s="705" t="s">
        <v>399</v>
      </c>
      <c r="B35" s="661"/>
      <c r="C35" s="696">
        <f>Calculations!C132</f>
        <v>0</v>
      </c>
      <c r="D35" s="696">
        <f>Calculations!D132</f>
        <v>0</v>
      </c>
      <c r="E35" s="696">
        <f>Calculations!E132</f>
        <v>0</v>
      </c>
      <c r="F35" s="696">
        <f>Calculations!F132</f>
        <v>0</v>
      </c>
      <c r="G35" s="814">
        <f t="shared" si="55"/>
        <v>0</v>
      </c>
      <c r="H35" s="696">
        <f>Calculations!H132</f>
        <v>0</v>
      </c>
      <c r="I35" s="696">
        <f>Calculations!I132</f>
        <v>0</v>
      </c>
      <c r="J35" s="696">
        <f>Calculations!J132</f>
        <v>0</v>
      </c>
      <c r="K35" s="696">
        <f>Calculations!K132</f>
        <v>0</v>
      </c>
      <c r="L35" s="696">
        <f>Calculations!L132</f>
        <v>0</v>
      </c>
      <c r="M35" s="696">
        <f>Calculations!M132</f>
        <v>0</v>
      </c>
      <c r="N35" s="696">
        <f>Calculations!N132</f>
        <v>0</v>
      </c>
      <c r="O35" s="696">
        <f>Calculations!O132</f>
        <v>0</v>
      </c>
      <c r="P35" s="696">
        <f>Calculations!P132</f>
        <v>0</v>
      </c>
      <c r="Q35" s="696">
        <f>Calculations!Q132</f>
        <v>0</v>
      </c>
      <c r="R35" s="696">
        <f>Calculations!R132</f>
        <v>0</v>
      </c>
      <c r="S35" s="696">
        <f>Calculations!S132</f>
        <v>0</v>
      </c>
      <c r="T35" s="814">
        <f t="shared" si="89"/>
        <v>0</v>
      </c>
      <c r="U35" s="696">
        <f>Calculations!U132</f>
        <v>0</v>
      </c>
      <c r="V35" s="696">
        <f>Calculations!V132</f>
        <v>0</v>
      </c>
      <c r="W35" s="696">
        <f>Calculations!W132</f>
        <v>8333.3333333333339</v>
      </c>
      <c r="X35" s="696">
        <f>Calculations!X132</f>
        <v>8333.3333333333339</v>
      </c>
      <c r="Y35" s="696">
        <f>Calculations!Y132</f>
        <v>8333.3333333333339</v>
      </c>
      <c r="Z35" s="696">
        <f>Calculations!Z132</f>
        <v>8333.3333333333339</v>
      </c>
      <c r="AA35" s="696">
        <f>Calculations!AA132</f>
        <v>8333.3333333333339</v>
      </c>
      <c r="AB35" s="696">
        <f>Calculations!AB132</f>
        <v>8333.3333333333339</v>
      </c>
      <c r="AC35" s="696">
        <f>Calculations!AC132</f>
        <v>8333.3333333333339</v>
      </c>
      <c r="AD35" s="696">
        <f>Calculations!AD132</f>
        <v>8333.3333333333339</v>
      </c>
      <c r="AE35" s="696">
        <f>Calculations!AE132</f>
        <v>8333.3333333333339</v>
      </c>
      <c r="AF35" s="696">
        <f>Calculations!AF132</f>
        <v>8333.3333333333339</v>
      </c>
      <c r="AG35" s="814">
        <f t="shared" si="56"/>
        <v>83333.333333333328</v>
      </c>
      <c r="AH35" s="979">
        <f>Calculations!AH132</f>
        <v>100000</v>
      </c>
      <c r="AI35" s="979">
        <f>Calculations!AI132</f>
        <v>100000</v>
      </c>
      <c r="AJ35" s="979">
        <f>Calculations!AJ132</f>
        <v>100000</v>
      </c>
      <c r="AK35" s="979">
        <f>Calculations!AK132</f>
        <v>100000</v>
      </c>
      <c r="AL35" s="979">
        <f>Calculations!AL132</f>
        <v>100000</v>
      </c>
      <c r="AM35" s="979">
        <f>Calculations!AM132</f>
        <v>100000</v>
      </c>
      <c r="AN35" s="979">
        <f>Calculations!AN132</f>
        <v>100000</v>
      </c>
      <c r="AO35" s="979">
        <f>Calculations!AO132</f>
        <v>100000</v>
      </c>
      <c r="AP35"/>
      <c r="AQ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34"/>
      <c r="CM35" s="34"/>
      <c r="CN35" s="34"/>
      <c r="CO35" s="34"/>
      <c r="CP35" s="34"/>
      <c r="CR35" s="498"/>
      <c r="CS35" s="482"/>
      <c r="CT35" s="482"/>
      <c r="CU35" s="482"/>
      <c r="CV35" s="482"/>
      <c r="CW35" s="482"/>
      <c r="CX35" s="482"/>
      <c r="CY35" s="482"/>
      <c r="CZ35" s="482"/>
      <c r="DA35" s="482"/>
      <c r="DB35" s="482"/>
      <c r="DC35" s="482"/>
      <c r="DD35" s="482"/>
      <c r="DE35" s="103"/>
      <c r="DF35" s="482"/>
      <c r="DG35" s="484"/>
      <c r="DH35" s="483"/>
      <c r="DI35" s="484"/>
      <c r="DJ35"/>
      <c r="DK35" s="92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4"/>
      <c r="DY35" s="93"/>
      <c r="DZ35" s="94"/>
      <c r="EA35" s="93"/>
      <c r="EB35" s="94"/>
      <c r="EC35"/>
    </row>
    <row r="36" spans="1:133" ht="12.4" customHeight="1" x14ac:dyDescent="0.2">
      <c r="A36" s="246" t="s">
        <v>268</v>
      </c>
      <c r="B36" s="247"/>
      <c r="C36" s="99">
        <f>SUM(C16:C35)</f>
        <v>0</v>
      </c>
      <c r="D36" s="99">
        <f t="shared" ref="D36:F36" si="90">SUM(D16:D35)</f>
        <v>52300</v>
      </c>
      <c r="E36" s="99">
        <f t="shared" si="90"/>
        <v>0</v>
      </c>
      <c r="F36" s="99">
        <f t="shared" si="90"/>
        <v>0</v>
      </c>
      <c r="G36" s="100">
        <f>SUM(C36:F36)</f>
        <v>52300</v>
      </c>
      <c r="H36" s="99">
        <f>SUM(H16:H35)</f>
        <v>237294.08333333331</v>
      </c>
      <c r="I36" s="99">
        <f t="shared" ref="I36:S36" si="91">SUM(I16:I35)</f>
        <v>199958.75</v>
      </c>
      <c r="J36" s="99">
        <f t="shared" si="91"/>
        <v>175958.75</v>
      </c>
      <c r="K36" s="99">
        <f t="shared" si="91"/>
        <v>31958.750000000004</v>
      </c>
      <c r="L36" s="99">
        <f t="shared" si="91"/>
        <v>26958.750000000004</v>
      </c>
      <c r="M36" s="99">
        <f t="shared" si="91"/>
        <v>26958.750000000004</v>
      </c>
      <c r="N36" s="99">
        <f t="shared" si="91"/>
        <v>53385.833333333328</v>
      </c>
      <c r="O36" s="99">
        <f t="shared" si="91"/>
        <v>53385.833333333328</v>
      </c>
      <c r="P36" s="99">
        <f t="shared" si="91"/>
        <v>53385.833333333328</v>
      </c>
      <c r="Q36" s="99">
        <f t="shared" si="91"/>
        <v>56087.833333333328</v>
      </c>
      <c r="R36" s="99">
        <f t="shared" si="91"/>
        <v>60587.833333333328</v>
      </c>
      <c r="S36" s="99">
        <f t="shared" si="91"/>
        <v>60587.833333333328</v>
      </c>
      <c r="T36" s="100">
        <f>SUM(T16:T35)</f>
        <v>1036508.8333333333</v>
      </c>
      <c r="U36" s="99">
        <f>SUM(U16:U35)</f>
        <v>237871.33333333334</v>
      </c>
      <c r="V36" s="99">
        <f t="shared" ref="V36:AO36" si="92">SUM(V16:V35)</f>
        <v>254371.33333333337</v>
      </c>
      <c r="W36" s="99">
        <f t="shared" si="92"/>
        <v>287704.66666666657</v>
      </c>
      <c r="X36" s="99">
        <f t="shared" si="92"/>
        <v>312704.66666666657</v>
      </c>
      <c r="Y36" s="99">
        <f t="shared" si="92"/>
        <v>333537.99999999994</v>
      </c>
      <c r="Z36" s="99">
        <f t="shared" si="92"/>
        <v>333537.99999999994</v>
      </c>
      <c r="AA36" s="99">
        <f t="shared" si="92"/>
        <v>605858.75000000012</v>
      </c>
      <c r="AB36" s="99">
        <f t="shared" si="92"/>
        <v>340856.74999999994</v>
      </c>
      <c r="AC36" s="99">
        <f t="shared" si="92"/>
        <v>340856.74999999994</v>
      </c>
      <c r="AD36" s="99">
        <f t="shared" si="92"/>
        <v>340856.74999999994</v>
      </c>
      <c r="AE36" s="99">
        <f t="shared" si="92"/>
        <v>340856.74999999994</v>
      </c>
      <c r="AF36" s="99">
        <f t="shared" si="92"/>
        <v>340856.74999999994</v>
      </c>
      <c r="AG36" s="100">
        <f t="shared" si="92"/>
        <v>4069870.5</v>
      </c>
      <c r="AH36" s="1008">
        <f t="shared" si="92"/>
        <v>4613295.5</v>
      </c>
      <c r="AI36" s="1008">
        <f t="shared" si="92"/>
        <v>5152695.5</v>
      </c>
      <c r="AJ36" s="1008">
        <f t="shared" si="92"/>
        <v>5777102.6875</v>
      </c>
      <c r="AK36" s="1008">
        <f>SUM(AK16:AK35)</f>
        <v>6338917.140625</v>
      </c>
      <c r="AL36" s="1008">
        <f t="shared" si="92"/>
        <v>6948942.6632812498</v>
      </c>
      <c r="AM36" s="1008">
        <f t="shared" si="92"/>
        <v>7619111.9061328126</v>
      </c>
      <c r="AN36" s="1008">
        <f t="shared" si="92"/>
        <v>8360282.1902207034</v>
      </c>
      <c r="AO36" s="1008">
        <f t="shared" si="92"/>
        <v>9199169.7012973651</v>
      </c>
      <c r="AP36"/>
      <c r="AQ36"/>
      <c r="CR36" s="247"/>
      <c r="CS36" s="99">
        <f t="shared" ref="CS36:DI36" si="93">SUM(CS15:CS30)</f>
        <v>234794.08333333331</v>
      </c>
      <c r="CT36" s="99">
        <f t="shared" si="93"/>
        <v>195792.08333333331</v>
      </c>
      <c r="CU36" s="99">
        <f t="shared" si="93"/>
        <v>171792.08333333331</v>
      </c>
      <c r="CV36" s="99">
        <f t="shared" si="93"/>
        <v>27792.083333333336</v>
      </c>
      <c r="CW36" s="99">
        <f t="shared" si="93"/>
        <v>22792.083333333336</v>
      </c>
      <c r="CX36" s="99">
        <f t="shared" si="93"/>
        <v>22792.083333333336</v>
      </c>
      <c r="CY36" s="99">
        <f t="shared" si="93"/>
        <v>46719.166666666664</v>
      </c>
      <c r="CZ36" s="99">
        <f t="shared" si="93"/>
        <v>46719.166666666664</v>
      </c>
      <c r="DA36" s="99">
        <f t="shared" si="93"/>
        <v>46719.166666666664</v>
      </c>
      <c r="DB36" s="99">
        <f t="shared" si="93"/>
        <v>49421.166666666664</v>
      </c>
      <c r="DC36" s="99">
        <f t="shared" si="93"/>
        <v>53921.166666666664</v>
      </c>
      <c r="DD36" s="99">
        <f t="shared" si="93"/>
        <v>53921.166666666664</v>
      </c>
      <c r="DE36" s="100">
        <f t="shared" si="93"/>
        <v>973175.5</v>
      </c>
      <c r="DF36" s="99" t="e">
        <f t="shared" si="93"/>
        <v>#REF!</v>
      </c>
      <c r="DG36" s="100">
        <f t="shared" si="93"/>
        <v>1858295.5</v>
      </c>
      <c r="DH36" s="163">
        <f t="shared" si="93"/>
        <v>2357695.5</v>
      </c>
      <c r="DI36" s="100">
        <f t="shared" si="93"/>
        <v>2942102.6875</v>
      </c>
      <c r="DJ36"/>
      <c r="DK36" s="248"/>
      <c r="DL36" s="249">
        <f t="shared" ref="DL36:EB36" si="94">SUM(DL15:DL30)</f>
        <v>0</v>
      </c>
      <c r="DM36" s="249">
        <f t="shared" si="94"/>
        <v>0</v>
      </c>
      <c r="DN36" s="249">
        <f t="shared" si="94"/>
        <v>0</v>
      </c>
      <c r="DO36" s="249">
        <f t="shared" si="94"/>
        <v>0</v>
      </c>
      <c r="DP36" s="249">
        <f t="shared" si="94"/>
        <v>0</v>
      </c>
      <c r="DQ36" s="249">
        <f t="shared" si="94"/>
        <v>0</v>
      </c>
      <c r="DR36" s="249">
        <f t="shared" si="94"/>
        <v>0</v>
      </c>
      <c r="DS36" s="249">
        <f t="shared" si="94"/>
        <v>0</v>
      </c>
      <c r="DT36" s="249">
        <f t="shared" si="94"/>
        <v>0</v>
      </c>
      <c r="DU36" s="249">
        <f t="shared" si="94"/>
        <v>0</v>
      </c>
      <c r="DV36" s="249">
        <f t="shared" si="94"/>
        <v>0</v>
      </c>
      <c r="DW36" s="249">
        <f t="shared" si="94"/>
        <v>0</v>
      </c>
      <c r="DX36" s="250">
        <f t="shared" si="94"/>
        <v>0</v>
      </c>
      <c r="DY36" s="249" t="e">
        <f t="shared" si="94"/>
        <v>#REF!</v>
      </c>
      <c r="DZ36" s="250">
        <f t="shared" si="94"/>
        <v>0</v>
      </c>
      <c r="EA36" s="251">
        <f t="shared" si="94"/>
        <v>0</v>
      </c>
      <c r="EB36" s="250">
        <f t="shared" si="94"/>
        <v>0</v>
      </c>
      <c r="EC36"/>
    </row>
    <row r="37" spans="1:133" s="706" customFormat="1" ht="12.4" customHeight="1" x14ac:dyDescent="0.2">
      <c r="A37" s="716" t="s">
        <v>269</v>
      </c>
      <c r="B37" s="717"/>
      <c r="C37" s="718" t="str">
        <f t="shared" ref="C37:F37" si="95">IF(C3&gt;0,C36/C3,"n/a")</f>
        <v>n/a</v>
      </c>
      <c r="D37" s="718" t="str">
        <f t="shared" si="95"/>
        <v>n/a</v>
      </c>
      <c r="E37" s="718" t="str">
        <f t="shared" si="95"/>
        <v>n/a</v>
      </c>
      <c r="F37" s="718" t="str">
        <f t="shared" si="95"/>
        <v>n/a</v>
      </c>
      <c r="G37" s="721" t="str">
        <f t="shared" ref="G37" si="96">IF(G3&gt;0,G36/G3,"n/a")</f>
        <v>n/a</v>
      </c>
      <c r="H37" s="718" t="str">
        <f t="shared" ref="H37:AO37" si="97">IF(H3&gt;0,H36/H3,"n/a")</f>
        <v>n/a</v>
      </c>
      <c r="I37" s="718" t="str">
        <f t="shared" ref="I37:S37" si="98">IF(I3&gt;0,I36/I3,"n/a")</f>
        <v>n/a</v>
      </c>
      <c r="J37" s="718" t="str">
        <f t="shared" si="98"/>
        <v>n/a</v>
      </c>
      <c r="K37" s="718" t="str">
        <f t="shared" si="98"/>
        <v>n/a</v>
      </c>
      <c r="L37" s="718" t="str">
        <f t="shared" si="98"/>
        <v>n/a</v>
      </c>
      <c r="M37" s="718" t="str">
        <f t="shared" si="98"/>
        <v>n/a</v>
      </c>
      <c r="N37" s="718" t="str">
        <f t="shared" si="98"/>
        <v>n/a</v>
      </c>
      <c r="O37" s="718" t="str">
        <f t="shared" si="98"/>
        <v>n/a</v>
      </c>
      <c r="P37" s="718" t="str">
        <f t="shared" si="98"/>
        <v>n/a</v>
      </c>
      <c r="Q37" s="718" t="str">
        <f t="shared" si="98"/>
        <v>n/a</v>
      </c>
      <c r="R37" s="718" t="str">
        <f t="shared" si="98"/>
        <v>n/a</v>
      </c>
      <c r="S37" s="718" t="str">
        <f t="shared" si="98"/>
        <v>n/a</v>
      </c>
      <c r="T37" s="721" t="str">
        <f t="shared" si="97"/>
        <v>n/a</v>
      </c>
      <c r="U37" s="718" t="str">
        <f t="shared" si="97"/>
        <v>n/a</v>
      </c>
      <c r="V37" s="718" t="str">
        <f t="shared" ref="V37:AF37" si="99">IF(V3&gt;0,V36/V3,"n/a")</f>
        <v>n/a</v>
      </c>
      <c r="W37" s="718">
        <f t="shared" si="99"/>
        <v>0.49738245993156827</v>
      </c>
      <c r="X37" s="718">
        <f t="shared" si="99"/>
        <v>0.4423761862658413</v>
      </c>
      <c r="Y37" s="718">
        <f t="shared" si="99"/>
        <v>0.40659870476190468</v>
      </c>
      <c r="Z37" s="718">
        <f t="shared" si="99"/>
        <v>0.36303455782312921</v>
      </c>
      <c r="AA37" s="718">
        <f t="shared" si="99"/>
        <v>0.59562150537634417</v>
      </c>
      <c r="AB37" s="718">
        <f t="shared" si="99"/>
        <v>0.30552985994397752</v>
      </c>
      <c r="AC37" s="718">
        <f t="shared" si="99"/>
        <v>0.28075716859716854</v>
      </c>
      <c r="AD37" s="718">
        <f t="shared" si="99"/>
        <v>0.2597003809523809</v>
      </c>
      <c r="AE37" s="718">
        <f t="shared" si="99"/>
        <v>0.24158174972314503</v>
      </c>
      <c r="AF37" s="718">
        <f t="shared" si="99"/>
        <v>0.22582641821946167</v>
      </c>
      <c r="AG37" s="965">
        <f t="shared" si="97"/>
        <v>0.38380295287772964</v>
      </c>
      <c r="AH37" s="1025">
        <f t="shared" si="97"/>
        <v>0.14267903082360125</v>
      </c>
      <c r="AI37" s="1025">
        <f t="shared" si="97"/>
        <v>8.3466209473726821E-2</v>
      </c>
      <c r="AJ37" s="1025">
        <f t="shared" si="97"/>
        <v>5.5240587484019825E-2</v>
      </c>
      <c r="AK37" s="1025">
        <f t="shared" si="97"/>
        <v>3.9439418721074336E-2</v>
      </c>
      <c r="AL37" s="1025">
        <f t="shared" si="97"/>
        <v>3.2986821728234833E-2</v>
      </c>
      <c r="AM37" s="1025">
        <f t="shared" si="97"/>
        <v>3.0772906129584342E-2</v>
      </c>
      <c r="AN37" s="1025">
        <f t="shared" si="97"/>
        <v>2.9591290950893946E-2</v>
      </c>
      <c r="AO37" s="1025">
        <f t="shared" si="97"/>
        <v>2.8995021026090442E-2</v>
      </c>
      <c r="CR37" s="720"/>
      <c r="CS37" s="718" t="e">
        <f t="shared" ref="CS37:DI37" si="100">IF(AND(PS_ExpenseCategories=TRUE,sales_actual&lt;&gt;0),total_general_and_administrative_expense_actual/sales_actual,0)</f>
        <v>#REF!</v>
      </c>
      <c r="CT37" s="718" t="e">
        <f t="shared" si="100"/>
        <v>#REF!</v>
      </c>
      <c r="CU37" s="718" t="e">
        <f t="shared" si="100"/>
        <v>#REF!</v>
      </c>
      <c r="CV37" s="718" t="e">
        <f t="shared" si="100"/>
        <v>#REF!</v>
      </c>
      <c r="CW37" s="718" t="e">
        <f t="shared" si="100"/>
        <v>#REF!</v>
      </c>
      <c r="CX37" s="718" t="e">
        <f t="shared" si="100"/>
        <v>#REF!</v>
      </c>
      <c r="CY37" s="718" t="e">
        <f t="shared" si="100"/>
        <v>#REF!</v>
      </c>
      <c r="CZ37" s="718" t="e">
        <f t="shared" si="100"/>
        <v>#REF!</v>
      </c>
      <c r="DA37" s="718" t="e">
        <f t="shared" si="100"/>
        <v>#REF!</v>
      </c>
      <c r="DB37" s="718" t="e">
        <f t="shared" si="100"/>
        <v>#REF!</v>
      </c>
      <c r="DC37" s="718" t="e">
        <f t="shared" si="100"/>
        <v>#REF!</v>
      </c>
      <c r="DD37" s="718" t="e">
        <f t="shared" si="100"/>
        <v>#REF!</v>
      </c>
      <c r="DE37" s="721" t="e">
        <f t="shared" si="100"/>
        <v>#REF!</v>
      </c>
      <c r="DF37" s="718" t="e">
        <f t="shared" si="100"/>
        <v>#REF!</v>
      </c>
      <c r="DG37" s="721" t="e">
        <f t="shared" si="100"/>
        <v>#REF!</v>
      </c>
      <c r="DH37" s="722" t="e">
        <f t="shared" si="100"/>
        <v>#REF!</v>
      </c>
      <c r="DI37" s="721" t="e">
        <f t="shared" si="100"/>
        <v>#REF!</v>
      </c>
      <c r="DK37" s="723"/>
      <c r="DL37" s="724" t="e">
        <f t="shared" ref="DL37:DW37" si="101">H37-CS37</f>
        <v>#VALUE!</v>
      </c>
      <c r="DM37" s="724" t="e">
        <f t="shared" si="101"/>
        <v>#VALUE!</v>
      </c>
      <c r="DN37" s="724" t="e">
        <f t="shared" si="101"/>
        <v>#VALUE!</v>
      </c>
      <c r="DO37" s="724" t="e">
        <f t="shared" si="101"/>
        <v>#VALUE!</v>
      </c>
      <c r="DP37" s="724" t="e">
        <f t="shared" si="101"/>
        <v>#VALUE!</v>
      </c>
      <c r="DQ37" s="724" t="e">
        <f t="shared" si="101"/>
        <v>#VALUE!</v>
      </c>
      <c r="DR37" s="724" t="e">
        <f t="shared" si="101"/>
        <v>#VALUE!</v>
      </c>
      <c r="DS37" s="724" t="e">
        <f t="shared" si="101"/>
        <v>#VALUE!</v>
      </c>
      <c r="DT37" s="724" t="e">
        <f t="shared" si="101"/>
        <v>#VALUE!</v>
      </c>
      <c r="DU37" s="724" t="e">
        <f t="shared" si="101"/>
        <v>#VALUE!</v>
      </c>
      <c r="DV37" s="724" t="e">
        <f t="shared" si="101"/>
        <v>#VALUE!</v>
      </c>
      <c r="DW37" s="724" t="e">
        <f t="shared" si="101"/>
        <v>#VALUE!</v>
      </c>
      <c r="DX37" s="725" t="e">
        <f>SUM(DL37:DW37)</f>
        <v>#VALUE!</v>
      </c>
      <c r="DY37" s="724" t="e">
        <f>IF(PS_AnnualDetail,AG37,#REF!)-DF37</f>
        <v>#REF!</v>
      </c>
      <c r="DZ37" s="725" t="e">
        <f>AH37-DG37</f>
        <v>#REF!</v>
      </c>
      <c r="EA37" s="726" t="e">
        <f>AI37-DH37</f>
        <v>#REF!</v>
      </c>
      <c r="EB37" s="725" t="e">
        <f>AJ37-DI37</f>
        <v>#REF!</v>
      </c>
    </row>
    <row r="38" spans="1:133" ht="12.4" customHeight="1" x14ac:dyDescent="0.2">
      <c r="A38" s="53"/>
      <c r="B38" s="116"/>
      <c r="C38" s="226"/>
      <c r="D38" s="226"/>
      <c r="E38" s="226"/>
      <c r="F38" s="226"/>
      <c r="G38" s="227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7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7"/>
      <c r="AH38" s="1023"/>
      <c r="AI38" s="1023"/>
      <c r="AJ38" s="1023"/>
      <c r="AK38" s="1023"/>
      <c r="AL38" s="1023"/>
      <c r="AM38" s="1023"/>
      <c r="AN38" s="1023"/>
      <c r="AO38" s="1023"/>
      <c r="AP38" s="32"/>
      <c r="AQ38"/>
      <c r="CR38" s="109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7"/>
      <c r="DF38" s="226"/>
      <c r="DG38" s="227"/>
      <c r="DH38" s="228"/>
      <c r="DI38" s="227"/>
      <c r="DJ38"/>
      <c r="DK38" s="1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1"/>
      <c r="DY38" s="230"/>
      <c r="DZ38" s="231"/>
      <c r="EA38" s="232"/>
      <c r="EB38" s="231"/>
      <c r="EC38"/>
    </row>
    <row r="39" spans="1:133" s="436" customFormat="1" ht="12.4" customHeight="1" x14ac:dyDescent="0.2">
      <c r="A39" s="221" t="s">
        <v>209</v>
      </c>
      <c r="B39" s="754"/>
      <c r="C39" s="754">
        <f>C12-C36</f>
        <v>0</v>
      </c>
      <c r="D39" s="754">
        <f t="shared" ref="D39:F39" si="102">D12-D36</f>
        <v>-52300</v>
      </c>
      <c r="E39" s="754">
        <f t="shared" si="102"/>
        <v>0</v>
      </c>
      <c r="F39" s="754">
        <f t="shared" si="102"/>
        <v>0</v>
      </c>
      <c r="G39" s="755">
        <f>SUM(C39:F39)</f>
        <v>-52300</v>
      </c>
      <c r="H39" s="754">
        <f>H12-H36</f>
        <v>-237294.08333333331</v>
      </c>
      <c r="I39" s="754">
        <f t="shared" ref="I39:S39" si="103">I12-I36</f>
        <v>-199958.75</v>
      </c>
      <c r="J39" s="754">
        <f t="shared" si="103"/>
        <v>-175958.75</v>
      </c>
      <c r="K39" s="754">
        <f t="shared" si="103"/>
        <v>-31958.750000000004</v>
      </c>
      <c r="L39" s="754">
        <f t="shared" si="103"/>
        <v>-26958.750000000004</v>
      </c>
      <c r="M39" s="754">
        <f t="shared" si="103"/>
        <v>-26958.750000000004</v>
      </c>
      <c r="N39" s="754">
        <f t="shared" si="103"/>
        <v>-53385.833333333328</v>
      </c>
      <c r="O39" s="754">
        <f t="shared" si="103"/>
        <v>-53385.833333333328</v>
      </c>
      <c r="P39" s="754">
        <f t="shared" si="103"/>
        <v>-53385.833333333328</v>
      </c>
      <c r="Q39" s="754">
        <f t="shared" si="103"/>
        <v>-56087.833333333328</v>
      </c>
      <c r="R39" s="754">
        <f t="shared" si="103"/>
        <v>-60587.833333333328</v>
      </c>
      <c r="S39" s="754">
        <f t="shared" si="103"/>
        <v>-60587.833333333328</v>
      </c>
      <c r="T39" s="755">
        <f t="shared" ref="T39:AO39" si="104">T12-T36</f>
        <v>-1036508.8333333333</v>
      </c>
      <c r="U39" s="754">
        <f>U12-U36</f>
        <v>-246204.66666666669</v>
      </c>
      <c r="V39" s="754">
        <f t="shared" ref="V39:AF39" si="105">V12-V36</f>
        <v>-262704.66666666669</v>
      </c>
      <c r="W39" s="754">
        <f t="shared" si="105"/>
        <v>243837.00000000017</v>
      </c>
      <c r="X39" s="754">
        <f t="shared" si="105"/>
        <v>338712.00000000006</v>
      </c>
      <c r="Y39" s="754">
        <f t="shared" si="105"/>
        <v>423753.66666666669</v>
      </c>
      <c r="Z39" s="754">
        <f t="shared" si="105"/>
        <v>515628.66666666669</v>
      </c>
      <c r="AA39" s="754">
        <f t="shared" si="105"/>
        <v>335182.91666666651</v>
      </c>
      <c r="AB39" s="754">
        <f t="shared" si="105"/>
        <v>692059.91666666674</v>
      </c>
      <c r="AC39" s="754">
        <f t="shared" si="105"/>
        <v>783934.91666666674</v>
      </c>
      <c r="AD39" s="754">
        <f t="shared" si="105"/>
        <v>875809.91666666674</v>
      </c>
      <c r="AE39" s="754">
        <f t="shared" si="105"/>
        <v>967684.91666666674</v>
      </c>
      <c r="AF39" s="754">
        <f t="shared" si="105"/>
        <v>1059559.9166666667</v>
      </c>
      <c r="AG39" s="755">
        <f t="shared" si="104"/>
        <v>5727254.5</v>
      </c>
      <c r="AH39" s="1026">
        <f t="shared" si="104"/>
        <v>19331181.687499996</v>
      </c>
      <c r="AI39" s="1026">
        <f t="shared" si="104"/>
        <v>38882143.297249995</v>
      </c>
      <c r="AJ39" s="1026">
        <f t="shared" si="104"/>
        <v>67536417.457001209</v>
      </c>
      <c r="AK39" s="1026">
        <f>AK12-AK36</f>
        <v>105340119.89618382</v>
      </c>
      <c r="AL39" s="1026">
        <f t="shared" si="104"/>
        <v>138850789.516518</v>
      </c>
      <c r="AM39" s="1026">
        <f t="shared" si="104"/>
        <v>163418455.68769026</v>
      </c>
      <c r="AN39" s="1026">
        <f t="shared" si="104"/>
        <v>186548530.48987395</v>
      </c>
      <c r="AO39" s="1026">
        <f t="shared" si="104"/>
        <v>209450096.98073551</v>
      </c>
      <c r="AP39" s="810"/>
      <c r="CR39" s="754"/>
      <c r="CS39" s="754" t="e">
        <f t="shared" ref="CS39:DI39" si="106">gross_margin_actual-total_operating_expenses_actual+depreciation_actual++net_other_income_actual</f>
        <v>#REF!</v>
      </c>
      <c r="CT39" s="754" t="e">
        <f t="shared" si="106"/>
        <v>#REF!</v>
      </c>
      <c r="CU39" s="754" t="e">
        <f t="shared" si="106"/>
        <v>#REF!</v>
      </c>
      <c r="CV39" s="754" t="e">
        <f t="shared" si="106"/>
        <v>#REF!</v>
      </c>
      <c r="CW39" s="754" t="e">
        <f t="shared" si="106"/>
        <v>#REF!</v>
      </c>
      <c r="CX39" s="754" t="e">
        <f t="shared" si="106"/>
        <v>#REF!</v>
      </c>
      <c r="CY39" s="754" t="e">
        <f t="shared" si="106"/>
        <v>#REF!</v>
      </c>
      <c r="CZ39" s="754" t="e">
        <f t="shared" si="106"/>
        <v>#REF!</v>
      </c>
      <c r="DA39" s="754" t="e">
        <f t="shared" si="106"/>
        <v>#REF!</v>
      </c>
      <c r="DB39" s="754" t="e">
        <f t="shared" si="106"/>
        <v>#REF!</v>
      </c>
      <c r="DC39" s="754" t="e">
        <f t="shared" si="106"/>
        <v>#REF!</v>
      </c>
      <c r="DD39" s="754" t="e">
        <f t="shared" si="106"/>
        <v>#REF!</v>
      </c>
      <c r="DE39" s="755" t="e">
        <f t="shared" si="106"/>
        <v>#REF!</v>
      </c>
      <c r="DF39" s="754" t="e">
        <f t="shared" si="106"/>
        <v>#REF!</v>
      </c>
      <c r="DG39" s="755" t="e">
        <f t="shared" si="106"/>
        <v>#REF!</v>
      </c>
      <c r="DH39" s="756" t="e">
        <f t="shared" si="106"/>
        <v>#REF!</v>
      </c>
      <c r="DI39" s="755" t="e">
        <f t="shared" si="106"/>
        <v>#REF!</v>
      </c>
      <c r="DK39" s="757"/>
      <c r="DL39" s="757" t="e">
        <f t="shared" ref="DL39:DW39" si="107">CS39-H39</f>
        <v>#REF!</v>
      </c>
      <c r="DM39" s="757" t="e">
        <f t="shared" si="107"/>
        <v>#REF!</v>
      </c>
      <c r="DN39" s="757" t="e">
        <f t="shared" si="107"/>
        <v>#REF!</v>
      </c>
      <c r="DO39" s="757" t="e">
        <f t="shared" si="107"/>
        <v>#REF!</v>
      </c>
      <c r="DP39" s="757" t="e">
        <f t="shared" si="107"/>
        <v>#REF!</v>
      </c>
      <c r="DQ39" s="757" t="e">
        <f t="shared" si="107"/>
        <v>#REF!</v>
      </c>
      <c r="DR39" s="757" t="e">
        <f t="shared" si="107"/>
        <v>#REF!</v>
      </c>
      <c r="DS39" s="757" t="e">
        <f t="shared" si="107"/>
        <v>#REF!</v>
      </c>
      <c r="DT39" s="757" t="e">
        <f t="shared" si="107"/>
        <v>#REF!</v>
      </c>
      <c r="DU39" s="757" t="e">
        <f t="shared" si="107"/>
        <v>#REF!</v>
      </c>
      <c r="DV39" s="757" t="e">
        <f t="shared" si="107"/>
        <v>#REF!</v>
      </c>
      <c r="DW39" s="757" t="e">
        <f t="shared" si="107"/>
        <v>#REF!</v>
      </c>
      <c r="DX39" s="758" t="e">
        <f>SUM(DL39:DW39)</f>
        <v>#REF!</v>
      </c>
      <c r="DY39" s="757" t="e">
        <f>DF39-IF(PS_AnnualDetail,AG39,#REF!)</f>
        <v>#REF!</v>
      </c>
      <c r="DZ39" s="758" t="e">
        <f>DG39-AH39</f>
        <v>#REF!</v>
      </c>
      <c r="EA39" s="743" t="e">
        <f>DH39-AI39</f>
        <v>#REF!</v>
      </c>
      <c r="EB39" s="758" t="e">
        <f>DI39-AJ39</f>
        <v>#REF!</v>
      </c>
    </row>
    <row r="40" spans="1:133" s="706" customFormat="1" ht="12.4" customHeight="1" x14ac:dyDescent="0.2">
      <c r="A40" s="716" t="s">
        <v>276</v>
      </c>
      <c r="B40" s="727"/>
      <c r="C40" s="727" t="str">
        <f t="shared" ref="C40:F40" si="108">IF(C3&gt;0,C39/C3,"n/a")</f>
        <v>n/a</v>
      </c>
      <c r="D40" s="727" t="str">
        <f t="shared" si="108"/>
        <v>n/a</v>
      </c>
      <c r="E40" s="727" t="str">
        <f t="shared" si="108"/>
        <v>n/a</v>
      </c>
      <c r="F40" s="727" t="str">
        <f t="shared" si="108"/>
        <v>n/a</v>
      </c>
      <c r="G40" s="729" t="str">
        <f t="shared" ref="G40" si="109">IF(G3&gt;0,G39/G3,"n/a")</f>
        <v>n/a</v>
      </c>
      <c r="H40" s="727" t="str">
        <f t="shared" ref="H40:U40" si="110">IF(H3&gt;0,H39/H3,"n/a")</f>
        <v>n/a</v>
      </c>
      <c r="I40" s="727" t="str">
        <f t="shared" ref="I40:S40" si="111">IF(I3&gt;0,I39/I3,"n/a")</f>
        <v>n/a</v>
      </c>
      <c r="J40" s="727" t="str">
        <f t="shared" si="111"/>
        <v>n/a</v>
      </c>
      <c r="K40" s="727" t="str">
        <f t="shared" si="111"/>
        <v>n/a</v>
      </c>
      <c r="L40" s="727" t="str">
        <f t="shared" si="111"/>
        <v>n/a</v>
      </c>
      <c r="M40" s="727" t="str">
        <f t="shared" si="111"/>
        <v>n/a</v>
      </c>
      <c r="N40" s="727" t="str">
        <f t="shared" si="111"/>
        <v>n/a</v>
      </c>
      <c r="O40" s="727" t="str">
        <f t="shared" si="111"/>
        <v>n/a</v>
      </c>
      <c r="P40" s="727" t="str">
        <f t="shared" si="111"/>
        <v>n/a</v>
      </c>
      <c r="Q40" s="727" t="str">
        <f t="shared" si="111"/>
        <v>n/a</v>
      </c>
      <c r="R40" s="727" t="str">
        <f t="shared" si="111"/>
        <v>n/a</v>
      </c>
      <c r="S40" s="727" t="str">
        <f t="shared" si="111"/>
        <v>n/a</v>
      </c>
      <c r="T40" s="729" t="str">
        <f t="shared" si="110"/>
        <v>n/a</v>
      </c>
      <c r="U40" s="727" t="str">
        <f t="shared" si="110"/>
        <v>n/a</v>
      </c>
      <c r="V40" s="873" t="str">
        <f t="shared" ref="V40:AO40" si="112">IF(V3&gt;0,V39/V3,"n/a")</f>
        <v>n/a</v>
      </c>
      <c r="W40" s="873">
        <f t="shared" si="112"/>
        <v>0.42154424635332277</v>
      </c>
      <c r="X40" s="873">
        <f t="shared" si="112"/>
        <v>0.4791681697612733</v>
      </c>
      <c r="Y40" s="873">
        <f t="shared" si="112"/>
        <v>0.51657589841269846</v>
      </c>
      <c r="Z40" s="873">
        <f t="shared" si="112"/>
        <v>0.56122848072562359</v>
      </c>
      <c r="AA40" s="873">
        <f t="shared" si="112"/>
        <v>0.32951930363543253</v>
      </c>
      <c r="AB40" s="873">
        <f t="shared" si="112"/>
        <v>0.62033381886087779</v>
      </c>
      <c r="AC40" s="873">
        <f t="shared" si="112"/>
        <v>0.64571215787215797</v>
      </c>
      <c r="AD40" s="873">
        <f t="shared" si="112"/>
        <v>0.66728374603174612</v>
      </c>
      <c r="AE40" s="873">
        <f t="shared" si="112"/>
        <v>0.6858453451458103</v>
      </c>
      <c r="AF40" s="873">
        <f t="shared" si="112"/>
        <v>0.70198586611456182</v>
      </c>
      <c r="AG40" s="967">
        <f t="shared" si="112"/>
        <v>0.54010003241682136</v>
      </c>
      <c r="AH40" s="1027">
        <f t="shared" si="112"/>
        <v>0.59787071256273261</v>
      </c>
      <c r="AI40" s="1027">
        <f t="shared" si="112"/>
        <v>0.62983444630790464</v>
      </c>
      <c r="AJ40" s="1027">
        <f t="shared" si="112"/>
        <v>0.64578242394116336</v>
      </c>
      <c r="AK40" s="1027">
        <f t="shared" si="112"/>
        <v>0.65540422828498113</v>
      </c>
      <c r="AL40" s="1027">
        <f t="shared" si="112"/>
        <v>0.65912851242943948</v>
      </c>
      <c r="AM40" s="1027">
        <f t="shared" si="112"/>
        <v>0.6600324104271359</v>
      </c>
      <c r="AN40" s="1027">
        <f t="shared" si="112"/>
        <v>0.66029013334558773</v>
      </c>
      <c r="AO40" s="1027">
        <f t="shared" si="112"/>
        <v>0.6601693590908132</v>
      </c>
      <c r="AP40" s="811"/>
      <c r="CR40" s="727"/>
      <c r="CS40" s="727"/>
      <c r="CT40" s="727"/>
      <c r="CU40" s="727"/>
      <c r="CV40" s="727"/>
      <c r="CW40" s="727"/>
      <c r="CX40" s="727"/>
      <c r="CY40" s="727"/>
      <c r="CZ40" s="727"/>
      <c r="DA40" s="727"/>
      <c r="DB40" s="727"/>
      <c r="DC40" s="727"/>
      <c r="DD40" s="727"/>
      <c r="DE40" s="729"/>
      <c r="DF40" s="727"/>
      <c r="DG40" s="729"/>
      <c r="DH40" s="728"/>
      <c r="DI40" s="729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1"/>
      <c r="DY40" s="730"/>
      <c r="DZ40" s="731"/>
      <c r="EA40" s="732"/>
      <c r="EB40" s="731"/>
    </row>
    <row r="41" spans="1:133" s="706" customFormat="1" ht="12.4" customHeight="1" x14ac:dyDescent="0.2">
      <c r="A41" s="716"/>
      <c r="B41" s="727"/>
      <c r="C41" s="727"/>
      <c r="D41" s="727"/>
      <c r="E41" s="727"/>
      <c r="F41" s="727"/>
      <c r="G41" s="729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9"/>
      <c r="U41" s="727"/>
      <c r="V41" s="727"/>
      <c r="W41" s="727"/>
      <c r="X41" s="727"/>
      <c r="Y41" s="727"/>
      <c r="Z41" s="727"/>
      <c r="AA41" s="727"/>
      <c r="AB41" s="727"/>
      <c r="AC41" s="727"/>
      <c r="AD41" s="727"/>
      <c r="AE41" s="727"/>
      <c r="AF41" s="727"/>
      <c r="AG41" s="969"/>
      <c r="AH41" s="1028"/>
      <c r="AI41" s="1028"/>
      <c r="AJ41" s="1028"/>
      <c r="AK41" s="1028"/>
      <c r="AL41" s="1028"/>
      <c r="AM41" s="1028"/>
      <c r="AN41" s="1028"/>
      <c r="AO41" s="1028"/>
      <c r="AP41" s="811"/>
      <c r="CR41" s="727"/>
      <c r="CS41" s="727"/>
      <c r="CT41" s="727"/>
      <c r="CU41" s="727"/>
      <c r="CV41" s="727"/>
      <c r="CW41" s="727"/>
      <c r="CX41" s="727"/>
      <c r="CY41" s="727"/>
      <c r="CZ41" s="727"/>
      <c r="DA41" s="727"/>
      <c r="DB41" s="727"/>
      <c r="DC41" s="727"/>
      <c r="DD41" s="727"/>
      <c r="DE41" s="729"/>
      <c r="DF41" s="727"/>
      <c r="DG41" s="729"/>
      <c r="DH41" s="728"/>
      <c r="DI41" s="729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1"/>
      <c r="DY41" s="730"/>
      <c r="DZ41" s="731"/>
      <c r="EA41" s="732"/>
      <c r="EB41" s="731"/>
    </row>
    <row r="42" spans="1:133" ht="12.4" customHeight="1" x14ac:dyDescent="0.2">
      <c r="A42" s="14" t="s">
        <v>244</v>
      </c>
      <c r="B42" s="548"/>
      <c r="C42" s="696">
        <f>Calculations!C206</f>
        <v>200</v>
      </c>
      <c r="D42" s="696">
        <f>Calculations!D206</f>
        <v>200</v>
      </c>
      <c r="E42" s="696">
        <f>Calculations!E206</f>
        <v>200</v>
      </c>
      <c r="F42" s="696">
        <f>Calculations!F206</f>
        <v>200</v>
      </c>
      <c r="G42" s="814">
        <f>Calculations!G206</f>
        <v>800</v>
      </c>
      <c r="H42" s="696">
        <f>Calculations!H206</f>
        <v>133.33333333333334</v>
      </c>
      <c r="I42" s="696">
        <f>Calculations!I206</f>
        <v>133.33333333333334</v>
      </c>
      <c r="J42" s="696">
        <f>Calculations!J206</f>
        <v>133.33333333333334</v>
      </c>
      <c r="K42" s="696">
        <f>Calculations!K206</f>
        <v>133.33333333333334</v>
      </c>
      <c r="L42" s="696">
        <f>Calculations!L206</f>
        <v>133.33333333333334</v>
      </c>
      <c r="M42" s="696">
        <f>Calculations!M206</f>
        <v>133.33333333333334</v>
      </c>
      <c r="N42" s="696">
        <f>Calculations!N206</f>
        <v>133.33333333333334</v>
      </c>
      <c r="O42" s="696">
        <f>Calculations!O206</f>
        <v>133.33333333333334</v>
      </c>
      <c r="P42" s="696">
        <f>Calculations!P206</f>
        <v>133.33333333333334</v>
      </c>
      <c r="Q42" s="696">
        <f>Calculations!Q206</f>
        <v>133.33333333333334</v>
      </c>
      <c r="R42" s="696">
        <f>Calculations!R206</f>
        <v>133.33333333333334</v>
      </c>
      <c r="S42" s="696">
        <f>Calculations!S206</f>
        <v>133.33333333333334</v>
      </c>
      <c r="T42" s="814">
        <f>Calculations!T206</f>
        <v>1600</v>
      </c>
      <c r="U42" s="696">
        <f>Calculations!U206</f>
        <v>183.33333333333334</v>
      </c>
      <c r="V42" s="696">
        <f>Calculations!V206</f>
        <v>183.33333333333334</v>
      </c>
      <c r="W42" s="696">
        <f>Calculations!W206</f>
        <v>183.33333333333334</v>
      </c>
      <c r="X42" s="696">
        <f>Calculations!X206</f>
        <v>183.33333333333334</v>
      </c>
      <c r="Y42" s="696">
        <f>Calculations!Y206</f>
        <v>183.33333333333334</v>
      </c>
      <c r="Z42" s="696">
        <f>Calculations!Z206</f>
        <v>183.33333333333334</v>
      </c>
      <c r="AA42" s="696">
        <f>Calculations!AA206</f>
        <v>183.33333333333334</v>
      </c>
      <c r="AB42" s="696">
        <f>Calculations!AB206</f>
        <v>183.33333333333334</v>
      </c>
      <c r="AC42" s="696">
        <f>Calculations!AC206</f>
        <v>183.33333333333334</v>
      </c>
      <c r="AD42" s="696">
        <f>Calculations!AD206</f>
        <v>183.33333333333334</v>
      </c>
      <c r="AE42" s="696">
        <f>Calculations!AE206</f>
        <v>183.33333333333334</v>
      </c>
      <c r="AF42" s="696">
        <f>Calculations!AF206</f>
        <v>183.33333333333334</v>
      </c>
      <c r="AG42" s="814">
        <f>Calculations!AG206</f>
        <v>2200</v>
      </c>
      <c r="AH42" s="979">
        <f>Calculations!AH206</f>
        <v>3000</v>
      </c>
      <c r="AI42" s="979">
        <f>Calculations!AI206</f>
        <v>3800</v>
      </c>
      <c r="AJ42" s="979">
        <f>Calculations!AJ206</f>
        <v>3800</v>
      </c>
      <c r="AK42" s="979">
        <f>Calculations!AK206</f>
        <v>3800</v>
      </c>
      <c r="AL42" s="979">
        <f>Calculations!AL206</f>
        <v>4000</v>
      </c>
      <c r="AM42" s="979">
        <f>Calculations!AM206</f>
        <v>4000</v>
      </c>
      <c r="AN42" s="979">
        <f>Calculations!AN206</f>
        <v>4000</v>
      </c>
      <c r="AO42" s="979">
        <f>Calculations!AO206</f>
        <v>4000</v>
      </c>
      <c r="AP42"/>
      <c r="AQ42"/>
      <c r="CR42" s="498"/>
      <c r="CS42" s="482">
        <f t="shared" ref="CS42:DD42" si="113">H42</f>
        <v>133.33333333333334</v>
      </c>
      <c r="CT42" s="482">
        <f t="shared" si="113"/>
        <v>133.33333333333334</v>
      </c>
      <c r="CU42" s="482">
        <f t="shared" si="113"/>
        <v>133.33333333333334</v>
      </c>
      <c r="CV42" s="482">
        <f t="shared" si="113"/>
        <v>133.33333333333334</v>
      </c>
      <c r="CW42" s="482">
        <f t="shared" si="113"/>
        <v>133.33333333333334</v>
      </c>
      <c r="CX42" s="482">
        <f t="shared" si="113"/>
        <v>133.33333333333334</v>
      </c>
      <c r="CY42" s="482">
        <f t="shared" si="113"/>
        <v>133.33333333333334</v>
      </c>
      <c r="CZ42" s="482">
        <f t="shared" si="113"/>
        <v>133.33333333333334</v>
      </c>
      <c r="DA42" s="482">
        <f t="shared" si="113"/>
        <v>133.33333333333334</v>
      </c>
      <c r="DB42" s="482">
        <f t="shared" si="113"/>
        <v>133.33333333333334</v>
      </c>
      <c r="DC42" s="482">
        <f t="shared" si="113"/>
        <v>133.33333333333334</v>
      </c>
      <c r="DD42" s="482">
        <f t="shared" si="113"/>
        <v>133.33333333333334</v>
      </c>
      <c r="DE42" s="103">
        <f>SUM(CS42:DD42)</f>
        <v>1599.9999999999998</v>
      </c>
      <c r="DF42" s="483" t="e">
        <f>IF(PS_AnnualDetail,AG42,#REF!)</f>
        <v>#REF!</v>
      </c>
      <c r="DG42" s="484">
        <f>AH42</f>
        <v>3000</v>
      </c>
      <c r="DH42" s="483">
        <f>AI42</f>
        <v>3800</v>
      </c>
      <c r="DI42" s="484">
        <f>AJ42</f>
        <v>3800</v>
      </c>
      <c r="DJ42"/>
      <c r="DK42" s="245"/>
      <c r="DL42" s="93">
        <f t="shared" ref="DL42:DW42" si="114">H42-CS42</f>
        <v>0</v>
      </c>
      <c r="DM42" s="93">
        <f t="shared" si="114"/>
        <v>0</v>
      </c>
      <c r="DN42" s="93">
        <f t="shared" si="114"/>
        <v>0</v>
      </c>
      <c r="DO42" s="93">
        <f t="shared" si="114"/>
        <v>0</v>
      </c>
      <c r="DP42" s="93">
        <f t="shared" si="114"/>
        <v>0</v>
      </c>
      <c r="DQ42" s="93">
        <f t="shared" si="114"/>
        <v>0</v>
      </c>
      <c r="DR42" s="93">
        <f t="shared" si="114"/>
        <v>0</v>
      </c>
      <c r="DS42" s="93">
        <f t="shared" si="114"/>
        <v>0</v>
      </c>
      <c r="DT42" s="93">
        <f t="shared" si="114"/>
        <v>0</v>
      </c>
      <c r="DU42" s="93">
        <f t="shared" si="114"/>
        <v>0</v>
      </c>
      <c r="DV42" s="93">
        <f t="shared" si="114"/>
        <v>0</v>
      </c>
      <c r="DW42" s="93">
        <f t="shared" si="114"/>
        <v>0</v>
      </c>
      <c r="DX42" s="94">
        <f>SUM(DL42:DW42)</f>
        <v>0</v>
      </c>
      <c r="DY42" s="215" t="e">
        <f>IF(PS_AnnualDetail,AG42,#REF!)-DF42</f>
        <v>#REF!</v>
      </c>
      <c r="DZ42" s="94">
        <f>AH42-DG42</f>
        <v>0</v>
      </c>
      <c r="EA42" s="93">
        <f>AI42-DH42</f>
        <v>0</v>
      </c>
      <c r="EB42" s="94">
        <f>AJ42-DI42</f>
        <v>0</v>
      </c>
      <c r="EC42"/>
    </row>
    <row r="43" spans="1:133" ht="12.4" customHeight="1" x14ac:dyDescent="0.2">
      <c r="A43" s="716" t="s">
        <v>269</v>
      </c>
      <c r="B43" s="548"/>
      <c r="C43" s="482"/>
      <c r="D43" s="482"/>
      <c r="E43" s="482"/>
      <c r="F43" s="482"/>
      <c r="G43" s="484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103"/>
      <c r="U43" s="482"/>
      <c r="V43" s="482"/>
      <c r="W43" s="482"/>
      <c r="X43" s="482"/>
      <c r="Y43" s="482"/>
      <c r="Z43" s="482"/>
      <c r="AA43" s="482"/>
      <c r="AB43" s="482"/>
      <c r="AC43" s="482"/>
      <c r="AD43" s="482"/>
      <c r="AE43" s="482"/>
      <c r="AF43" s="482"/>
      <c r="AG43" s="103"/>
      <c r="AH43" s="980"/>
      <c r="AI43" s="980"/>
      <c r="AJ43" s="980"/>
      <c r="AK43" s="980"/>
      <c r="AL43" s="980"/>
      <c r="AM43" s="980"/>
      <c r="AN43" s="980"/>
      <c r="AO43" s="980"/>
      <c r="AP43"/>
      <c r="AQ43"/>
      <c r="CR43" s="498"/>
      <c r="CS43" s="482"/>
      <c r="CT43" s="482"/>
      <c r="CU43" s="482"/>
      <c r="CV43" s="482"/>
      <c r="CW43" s="482"/>
      <c r="CX43" s="482"/>
      <c r="CY43" s="482"/>
      <c r="CZ43" s="482"/>
      <c r="DA43" s="482"/>
      <c r="DB43" s="482"/>
      <c r="DC43" s="482"/>
      <c r="DD43" s="482"/>
      <c r="DE43" s="103"/>
      <c r="DF43" s="482"/>
      <c r="DG43" s="484"/>
      <c r="DH43" s="482"/>
      <c r="DI43" s="484"/>
      <c r="DJ43"/>
      <c r="DK43" s="245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4"/>
      <c r="DY43" s="93"/>
      <c r="DZ43" s="94"/>
      <c r="EA43" s="93"/>
      <c r="EB43" s="94"/>
      <c r="EC43"/>
    </row>
    <row r="44" spans="1:133" ht="12.4" customHeight="1" x14ac:dyDescent="0.2">
      <c r="A44" s="53"/>
      <c r="B44" s="212"/>
      <c r="C44" s="212"/>
      <c r="D44" s="212"/>
      <c r="E44" s="212"/>
      <c r="F44" s="212"/>
      <c r="G44" s="103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103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103"/>
      <c r="AH44" s="885"/>
      <c r="AI44" s="885"/>
      <c r="AJ44" s="885"/>
      <c r="AK44" s="885"/>
      <c r="AL44" s="885"/>
      <c r="AM44" s="885"/>
      <c r="AN44" s="885"/>
      <c r="AO44" s="885"/>
      <c r="AP44" s="32"/>
      <c r="AQ44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103"/>
      <c r="DF44" s="212"/>
      <c r="DG44" s="103"/>
      <c r="DH44" s="102"/>
      <c r="DI44" s="103"/>
      <c r="DJ44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94"/>
      <c r="DY44" s="213"/>
      <c r="DZ44" s="94"/>
      <c r="EA44" s="93"/>
      <c r="EB44" s="94"/>
      <c r="EC44"/>
    </row>
    <row r="45" spans="1:133" ht="12.4" customHeight="1" x14ac:dyDescent="0.2">
      <c r="A45" s="53" t="s">
        <v>267</v>
      </c>
      <c r="B45" s="212"/>
      <c r="C45" s="212">
        <f>C39-C42</f>
        <v>-200</v>
      </c>
      <c r="D45" s="212">
        <f t="shared" ref="D45:F45" si="115">D39-D42</f>
        <v>-52500</v>
      </c>
      <c r="E45" s="212">
        <f t="shared" si="115"/>
        <v>-200</v>
      </c>
      <c r="F45" s="212">
        <f t="shared" si="115"/>
        <v>-200</v>
      </c>
      <c r="G45" s="103">
        <f>SUM(C45:F45)</f>
        <v>-53100</v>
      </c>
      <c r="H45" s="212">
        <f>H39-H42</f>
        <v>-237427.41666666666</v>
      </c>
      <c r="I45" s="212">
        <f t="shared" ref="I45:S45" si="116">I39-I42</f>
        <v>-200092.08333333334</v>
      </c>
      <c r="J45" s="212">
        <f t="shared" si="116"/>
        <v>-176092.08333333334</v>
      </c>
      <c r="K45" s="212">
        <f t="shared" si="116"/>
        <v>-32092.083333333336</v>
      </c>
      <c r="L45" s="212">
        <f t="shared" si="116"/>
        <v>-27092.083333333336</v>
      </c>
      <c r="M45" s="212">
        <f t="shared" si="116"/>
        <v>-27092.083333333336</v>
      </c>
      <c r="N45" s="212">
        <f t="shared" si="116"/>
        <v>-53519.166666666664</v>
      </c>
      <c r="O45" s="212">
        <f t="shared" si="116"/>
        <v>-53519.166666666664</v>
      </c>
      <c r="P45" s="212">
        <f t="shared" si="116"/>
        <v>-53519.166666666664</v>
      </c>
      <c r="Q45" s="212">
        <f t="shared" si="116"/>
        <v>-56221.166666666664</v>
      </c>
      <c r="R45" s="212">
        <f t="shared" si="116"/>
        <v>-60721.166666666664</v>
      </c>
      <c r="S45" s="212">
        <f t="shared" si="116"/>
        <v>-60721.166666666664</v>
      </c>
      <c r="T45" s="103">
        <f t="shared" ref="T45:AO45" si="117">T39-T42</f>
        <v>-1038108.8333333333</v>
      </c>
      <c r="U45" s="212">
        <f t="shared" si="117"/>
        <v>-246388.00000000003</v>
      </c>
      <c r="V45" s="212">
        <f t="shared" ref="V45:AF45" si="118">V39-V42</f>
        <v>-262888</v>
      </c>
      <c r="W45" s="212">
        <f t="shared" si="118"/>
        <v>243653.66666666683</v>
      </c>
      <c r="X45" s="212">
        <f t="shared" si="118"/>
        <v>338528.66666666674</v>
      </c>
      <c r="Y45" s="212">
        <f t="shared" si="118"/>
        <v>423570.33333333337</v>
      </c>
      <c r="Z45" s="212">
        <f t="shared" si="118"/>
        <v>515445.33333333337</v>
      </c>
      <c r="AA45" s="212">
        <f t="shared" si="118"/>
        <v>334999.5833333332</v>
      </c>
      <c r="AB45" s="212">
        <f t="shared" si="118"/>
        <v>691876.58333333337</v>
      </c>
      <c r="AC45" s="212">
        <f t="shared" si="118"/>
        <v>783751.58333333337</v>
      </c>
      <c r="AD45" s="212">
        <f t="shared" si="118"/>
        <v>875626.58333333337</v>
      </c>
      <c r="AE45" s="212">
        <f t="shared" si="118"/>
        <v>967501.58333333337</v>
      </c>
      <c r="AF45" s="212">
        <f t="shared" si="118"/>
        <v>1059376.5833333335</v>
      </c>
      <c r="AG45" s="103">
        <f t="shared" si="117"/>
        <v>5725054.5</v>
      </c>
      <c r="AH45" s="885">
        <f t="shared" si="117"/>
        <v>19328181.687499996</v>
      </c>
      <c r="AI45" s="885">
        <f t="shared" si="117"/>
        <v>38878343.297249995</v>
      </c>
      <c r="AJ45" s="885">
        <f t="shared" si="117"/>
        <v>67532617.457001209</v>
      </c>
      <c r="AK45" s="885">
        <f t="shared" si="117"/>
        <v>105336319.89618382</v>
      </c>
      <c r="AL45" s="885">
        <f t="shared" si="117"/>
        <v>138846789.516518</v>
      </c>
      <c r="AM45" s="885">
        <f t="shared" si="117"/>
        <v>163414455.68769026</v>
      </c>
      <c r="AN45" s="885">
        <f t="shared" si="117"/>
        <v>186544530.48987395</v>
      </c>
      <c r="AO45" s="885">
        <f t="shared" si="117"/>
        <v>209446096.98073551</v>
      </c>
      <c r="AP45"/>
      <c r="AQ45"/>
      <c r="CR45" s="212"/>
      <c r="CS45" s="212" t="e">
        <f t="shared" ref="CS45:DI45" si="119">gross_margin_actual-total_operating_expenses_actual+net_other_income_actual</f>
        <v>#REF!</v>
      </c>
      <c r="CT45" s="212" t="e">
        <f t="shared" si="119"/>
        <v>#REF!</v>
      </c>
      <c r="CU45" s="212" t="e">
        <f t="shared" si="119"/>
        <v>#REF!</v>
      </c>
      <c r="CV45" s="212" t="e">
        <f t="shared" si="119"/>
        <v>#REF!</v>
      </c>
      <c r="CW45" s="212" t="e">
        <f t="shared" si="119"/>
        <v>#REF!</v>
      </c>
      <c r="CX45" s="212" t="e">
        <f t="shared" si="119"/>
        <v>#REF!</v>
      </c>
      <c r="CY45" s="212" t="e">
        <f t="shared" si="119"/>
        <v>#REF!</v>
      </c>
      <c r="CZ45" s="212" t="e">
        <f t="shared" si="119"/>
        <v>#REF!</v>
      </c>
      <c r="DA45" s="212" t="e">
        <f t="shared" si="119"/>
        <v>#REF!</v>
      </c>
      <c r="DB45" s="212" t="e">
        <f t="shared" si="119"/>
        <v>#REF!</v>
      </c>
      <c r="DC45" s="212" t="e">
        <f t="shared" si="119"/>
        <v>#REF!</v>
      </c>
      <c r="DD45" s="212" t="e">
        <f t="shared" si="119"/>
        <v>#REF!</v>
      </c>
      <c r="DE45" s="103" t="e">
        <f t="shared" si="119"/>
        <v>#REF!</v>
      </c>
      <c r="DF45" s="212" t="e">
        <f t="shared" si="119"/>
        <v>#REF!</v>
      </c>
      <c r="DG45" s="103" t="e">
        <f t="shared" si="119"/>
        <v>#REF!</v>
      </c>
      <c r="DH45" s="102" t="e">
        <f t="shared" si="119"/>
        <v>#REF!</v>
      </c>
      <c r="DI45" s="103" t="e">
        <f t="shared" si="119"/>
        <v>#REF!</v>
      </c>
      <c r="DJ45"/>
      <c r="DK45" s="213"/>
      <c r="DL45" s="213" t="e">
        <f t="shared" ref="DL45:DW45" si="120">CS45-H45</f>
        <v>#REF!</v>
      </c>
      <c r="DM45" s="213" t="e">
        <f t="shared" si="120"/>
        <v>#REF!</v>
      </c>
      <c r="DN45" s="213" t="e">
        <f t="shared" si="120"/>
        <v>#REF!</v>
      </c>
      <c r="DO45" s="213" t="e">
        <f t="shared" si="120"/>
        <v>#REF!</v>
      </c>
      <c r="DP45" s="213" t="e">
        <f t="shared" si="120"/>
        <v>#REF!</v>
      </c>
      <c r="DQ45" s="213" t="e">
        <f t="shared" si="120"/>
        <v>#REF!</v>
      </c>
      <c r="DR45" s="213" t="e">
        <f t="shared" si="120"/>
        <v>#REF!</v>
      </c>
      <c r="DS45" s="213" t="e">
        <f t="shared" si="120"/>
        <v>#REF!</v>
      </c>
      <c r="DT45" s="213" t="e">
        <f t="shared" si="120"/>
        <v>#REF!</v>
      </c>
      <c r="DU45" s="213" t="e">
        <f t="shared" si="120"/>
        <v>#REF!</v>
      </c>
      <c r="DV45" s="213" t="e">
        <f t="shared" si="120"/>
        <v>#REF!</v>
      </c>
      <c r="DW45" s="213" t="e">
        <f t="shared" si="120"/>
        <v>#REF!</v>
      </c>
      <c r="DX45" s="94" t="e">
        <f>SUM(DL45:DW45)</f>
        <v>#REF!</v>
      </c>
      <c r="DY45" s="213" t="e">
        <f>DF45-IF(PS_AnnualDetail,AG45,#REF!)</f>
        <v>#REF!</v>
      </c>
      <c r="DZ45" s="94" t="e">
        <f>DG45-AH45</f>
        <v>#REF!</v>
      </c>
      <c r="EA45" s="93" t="e">
        <f>DH45-AI45</f>
        <v>#REF!</v>
      </c>
      <c r="EB45" s="94" t="e">
        <f>DI45-AJ45</f>
        <v>#REF!</v>
      </c>
      <c r="EC45"/>
    </row>
    <row r="46" spans="1:133" ht="12.4" customHeight="1" x14ac:dyDescent="0.2">
      <c r="A46" s="53" t="s">
        <v>143</v>
      </c>
      <c r="B46" s="212"/>
      <c r="C46" s="212">
        <f>Calculations!C146</f>
        <v>0</v>
      </c>
      <c r="D46" s="212">
        <f>Calculations!D146</f>
        <v>0</v>
      </c>
      <c r="E46" s="212">
        <f>Calculations!E146</f>
        <v>0</v>
      </c>
      <c r="F46" s="212">
        <f>Calculations!F146</f>
        <v>0</v>
      </c>
      <c r="G46" s="103">
        <f>SUM(C46:F46)</f>
        <v>0</v>
      </c>
      <c r="H46" s="212">
        <f>Calculations!H146</f>
        <v>0</v>
      </c>
      <c r="I46" s="212">
        <f>Calculations!I146</f>
        <v>0</v>
      </c>
      <c r="J46" s="212">
        <f>Calculations!J146</f>
        <v>0</v>
      </c>
      <c r="K46" s="212">
        <f>Calculations!K146</f>
        <v>0</v>
      </c>
      <c r="L46" s="212">
        <f>Calculations!L146</f>
        <v>0</v>
      </c>
      <c r="M46" s="212">
        <f>Calculations!M146</f>
        <v>0</v>
      </c>
      <c r="N46" s="212">
        <f>Calculations!N146</f>
        <v>0</v>
      </c>
      <c r="O46" s="212">
        <f>Calculations!O146</f>
        <v>0</v>
      </c>
      <c r="P46" s="212">
        <f>Calculations!P146</f>
        <v>0</v>
      </c>
      <c r="Q46" s="212">
        <f>Calculations!Q146</f>
        <v>0</v>
      </c>
      <c r="R46" s="212">
        <f>Calculations!R146</f>
        <v>0</v>
      </c>
      <c r="S46" s="212">
        <f>Calculations!S146</f>
        <v>0</v>
      </c>
      <c r="T46" s="103">
        <f>SUM(H46:S46)</f>
        <v>0</v>
      </c>
      <c r="U46" s="212">
        <f>Calculations!U146</f>
        <v>0</v>
      </c>
      <c r="V46" s="212">
        <f>Calculations!V146</f>
        <v>0</v>
      </c>
      <c r="W46" s="212">
        <f>Calculations!W146</f>
        <v>0</v>
      </c>
      <c r="X46" s="212">
        <f>Calculations!X146</f>
        <v>0</v>
      </c>
      <c r="Y46" s="212">
        <f>Calculations!Y146</f>
        <v>0</v>
      </c>
      <c r="Z46" s="212">
        <f>Calculations!Z146</f>
        <v>0</v>
      </c>
      <c r="AA46" s="212">
        <f>Calculations!AA146</f>
        <v>0</v>
      </c>
      <c r="AB46" s="212">
        <f>Calculations!AB146</f>
        <v>0</v>
      </c>
      <c r="AC46" s="212">
        <f>Calculations!AC146</f>
        <v>0</v>
      </c>
      <c r="AD46" s="212">
        <f>Calculations!AD146</f>
        <v>0</v>
      </c>
      <c r="AE46" s="212">
        <f>Calculations!AE146</f>
        <v>0</v>
      </c>
      <c r="AF46" s="212">
        <f>Calculations!AF146</f>
        <v>0</v>
      </c>
      <c r="AG46" s="103">
        <f>SUM(U46:AF46)</f>
        <v>0</v>
      </c>
      <c r="AH46" s="885">
        <f>Calculations!AH146</f>
        <v>0</v>
      </c>
      <c r="AI46" s="885">
        <f>Calculations!AI146</f>
        <v>0</v>
      </c>
      <c r="AJ46" s="885">
        <f>Calculations!AJ146</f>
        <v>0</v>
      </c>
      <c r="AK46" s="885">
        <f>Calculations!AK146</f>
        <v>0</v>
      </c>
      <c r="AL46" s="885">
        <f>Calculations!AL146</f>
        <v>0</v>
      </c>
      <c r="AM46" s="885">
        <f>Calculations!AM146</f>
        <v>0</v>
      </c>
      <c r="AN46" s="885">
        <f>Calculations!AN146</f>
        <v>0</v>
      </c>
      <c r="AO46" s="885">
        <f>Calculations!AO146</f>
        <v>0</v>
      </c>
      <c r="AP46"/>
      <c r="AQ46"/>
      <c r="CR46" s="482"/>
      <c r="CS46" s="482">
        <f t="shared" ref="CS46:DD47" si="121">H46</f>
        <v>0</v>
      </c>
      <c r="CT46" s="482">
        <f t="shared" si="121"/>
        <v>0</v>
      </c>
      <c r="CU46" s="482">
        <f t="shared" si="121"/>
        <v>0</v>
      </c>
      <c r="CV46" s="482">
        <f t="shared" si="121"/>
        <v>0</v>
      </c>
      <c r="CW46" s="482">
        <f t="shared" si="121"/>
        <v>0</v>
      </c>
      <c r="CX46" s="482">
        <f t="shared" si="121"/>
        <v>0</v>
      </c>
      <c r="CY46" s="482">
        <f t="shared" si="121"/>
        <v>0</v>
      </c>
      <c r="CZ46" s="482">
        <f t="shared" si="121"/>
        <v>0</v>
      </c>
      <c r="DA46" s="482">
        <f t="shared" si="121"/>
        <v>0</v>
      </c>
      <c r="DB46" s="482">
        <f t="shared" si="121"/>
        <v>0</v>
      </c>
      <c r="DC46" s="482">
        <f t="shared" si="121"/>
        <v>0</v>
      </c>
      <c r="DD46" s="482">
        <f t="shared" si="121"/>
        <v>0</v>
      </c>
      <c r="DE46" s="103">
        <f>SUM(CS46:DD46)</f>
        <v>0</v>
      </c>
      <c r="DF46" s="483" t="e">
        <f>IF(PS_AnnualDetail,AG46,#REF!)</f>
        <v>#REF!</v>
      </c>
      <c r="DG46" s="484">
        <f t="shared" ref="DG46:DI47" si="122">AH46</f>
        <v>0</v>
      </c>
      <c r="DH46" s="483">
        <f t="shared" si="122"/>
        <v>0</v>
      </c>
      <c r="DI46" s="484">
        <f t="shared" si="122"/>
        <v>0</v>
      </c>
      <c r="DJ46"/>
      <c r="DK46" s="213"/>
      <c r="DL46" s="213">
        <f t="shared" ref="DL46:DW47" si="123">H46-CS46</f>
        <v>0</v>
      </c>
      <c r="DM46" s="213">
        <f t="shared" si="123"/>
        <v>0</v>
      </c>
      <c r="DN46" s="213">
        <f t="shared" si="123"/>
        <v>0</v>
      </c>
      <c r="DO46" s="213">
        <f t="shared" si="123"/>
        <v>0</v>
      </c>
      <c r="DP46" s="213">
        <f t="shared" si="123"/>
        <v>0</v>
      </c>
      <c r="DQ46" s="213">
        <f t="shared" si="123"/>
        <v>0</v>
      </c>
      <c r="DR46" s="213">
        <f t="shared" si="123"/>
        <v>0</v>
      </c>
      <c r="DS46" s="213">
        <f t="shared" si="123"/>
        <v>0</v>
      </c>
      <c r="DT46" s="213">
        <f t="shared" si="123"/>
        <v>0</v>
      </c>
      <c r="DU46" s="213">
        <f t="shared" si="123"/>
        <v>0</v>
      </c>
      <c r="DV46" s="213">
        <f t="shared" si="123"/>
        <v>0</v>
      </c>
      <c r="DW46" s="213">
        <f t="shared" si="123"/>
        <v>0</v>
      </c>
      <c r="DX46" s="94">
        <f>SUM(DL46:DW46)</f>
        <v>0</v>
      </c>
      <c r="DY46" s="213" t="e">
        <f>IF(PS_AnnualDetail,AG46,#REF!)-DF46</f>
        <v>#REF!</v>
      </c>
      <c r="DZ46" s="94">
        <f t="shared" ref="DZ46:EB47" si="124">AH46-DG46</f>
        <v>0</v>
      </c>
      <c r="EA46" s="93">
        <f t="shared" si="124"/>
        <v>0</v>
      </c>
      <c r="EB46" s="94">
        <f t="shared" si="124"/>
        <v>0</v>
      </c>
      <c r="EC46"/>
    </row>
    <row r="47" spans="1:133" ht="12.4" customHeight="1" x14ac:dyDescent="0.2">
      <c r="A47" s="53" t="s">
        <v>201</v>
      </c>
      <c r="B47" s="212"/>
      <c r="C47" s="212">
        <f>Calculations!C158</f>
        <v>0</v>
      </c>
      <c r="D47" s="212">
        <f>Calculations!D158</f>
        <v>0</v>
      </c>
      <c r="E47" s="212">
        <f>Calculations!E158</f>
        <v>0</v>
      </c>
      <c r="F47" s="212">
        <f>Calculations!F158</f>
        <v>0</v>
      </c>
      <c r="G47" s="103">
        <f>Calculations!G158</f>
        <v>0</v>
      </c>
      <c r="H47" s="212">
        <f>Calculations!H158</f>
        <v>0</v>
      </c>
      <c r="I47" s="212">
        <f>Calculations!I158</f>
        <v>0</v>
      </c>
      <c r="J47" s="212">
        <f>Calculations!J158</f>
        <v>0</v>
      </c>
      <c r="K47" s="212">
        <f>Calculations!K158</f>
        <v>0</v>
      </c>
      <c r="L47" s="212">
        <f>Calculations!L158</f>
        <v>0</v>
      </c>
      <c r="M47" s="212">
        <f>Calculations!M158</f>
        <v>0</v>
      </c>
      <c r="N47" s="212">
        <f>Calculations!N158</f>
        <v>0</v>
      </c>
      <c r="O47" s="212">
        <f>Calculations!O158</f>
        <v>0</v>
      </c>
      <c r="P47" s="212">
        <f>Calculations!P158</f>
        <v>0</v>
      </c>
      <c r="Q47" s="212">
        <f>Calculations!Q158</f>
        <v>0</v>
      </c>
      <c r="R47" s="212">
        <f>Calculations!R158</f>
        <v>0</v>
      </c>
      <c r="S47" s="212">
        <f>Calculations!S158</f>
        <v>0</v>
      </c>
      <c r="T47" s="103">
        <f>SUM(H47:S47)</f>
        <v>0</v>
      </c>
      <c r="U47" s="212">
        <f>Calculations!U158</f>
        <v>0</v>
      </c>
      <c r="V47" s="212">
        <f>Calculations!V158</f>
        <v>0</v>
      </c>
      <c r="W47" s="212">
        <f>Calculations!W158</f>
        <v>0</v>
      </c>
      <c r="X47" s="212">
        <f>Calculations!X158</f>
        <v>0</v>
      </c>
      <c r="Y47" s="212">
        <f>Calculations!Y158</f>
        <v>0</v>
      </c>
      <c r="Z47" s="212">
        <f>Calculations!Z158</f>
        <v>0</v>
      </c>
      <c r="AA47" s="212">
        <f>Calculations!AA158</f>
        <v>52469.46249999998</v>
      </c>
      <c r="AB47" s="212">
        <f>Calculations!AB158</f>
        <v>242156.80416666667</v>
      </c>
      <c r="AC47" s="212">
        <f>Calculations!AC158</f>
        <v>274313.05416666664</v>
      </c>
      <c r="AD47" s="212">
        <f>Calculations!AD158</f>
        <v>306469.30416666664</v>
      </c>
      <c r="AE47" s="212">
        <f>Calculations!AE158</f>
        <v>338625.55416666664</v>
      </c>
      <c r="AF47" s="212">
        <f>Calculations!AF158</f>
        <v>370781.8041666667</v>
      </c>
      <c r="AG47" s="103">
        <f>SUM(U47:AF47)</f>
        <v>1584815.9833333334</v>
      </c>
      <c r="AH47" s="885">
        <f>Calculations!AH158</f>
        <v>6764863.5906249983</v>
      </c>
      <c r="AI47" s="885">
        <f>Calculations!AI158</f>
        <v>13607420.154037498</v>
      </c>
      <c r="AJ47" s="885">
        <f>Calculations!AJ158</f>
        <v>23636416.109950423</v>
      </c>
      <c r="AK47" s="885">
        <f>Calculations!AK158</f>
        <v>36867711.963664331</v>
      </c>
      <c r="AL47" s="885">
        <f>Calculations!AL158</f>
        <v>48596376.330781296</v>
      </c>
      <c r="AM47" s="885">
        <f>Calculations!AM158</f>
        <v>57195059.490691587</v>
      </c>
      <c r="AN47" s="885">
        <f>Calculations!AN158</f>
        <v>65290585.671455875</v>
      </c>
      <c r="AO47" s="885">
        <f>Calculations!AO158</f>
        <v>73306133.943257421</v>
      </c>
      <c r="AP47"/>
      <c r="AQ47"/>
      <c r="CR47" s="482"/>
      <c r="CS47" s="482">
        <f t="shared" si="121"/>
        <v>0</v>
      </c>
      <c r="CT47" s="482">
        <f t="shared" si="121"/>
        <v>0</v>
      </c>
      <c r="CU47" s="482">
        <f t="shared" si="121"/>
        <v>0</v>
      </c>
      <c r="CV47" s="482">
        <f t="shared" si="121"/>
        <v>0</v>
      </c>
      <c r="CW47" s="482">
        <f t="shared" si="121"/>
        <v>0</v>
      </c>
      <c r="CX47" s="482">
        <f t="shared" si="121"/>
        <v>0</v>
      </c>
      <c r="CY47" s="482">
        <f t="shared" si="121"/>
        <v>0</v>
      </c>
      <c r="CZ47" s="482">
        <f t="shared" si="121"/>
        <v>0</v>
      </c>
      <c r="DA47" s="482">
        <f t="shared" si="121"/>
        <v>0</v>
      </c>
      <c r="DB47" s="482">
        <f t="shared" si="121"/>
        <v>0</v>
      </c>
      <c r="DC47" s="482">
        <f t="shared" si="121"/>
        <v>0</v>
      </c>
      <c r="DD47" s="482">
        <f t="shared" si="121"/>
        <v>0</v>
      </c>
      <c r="DE47" s="103">
        <f>SUM(CS47:DD47)</f>
        <v>0</v>
      </c>
      <c r="DF47" s="483" t="e">
        <f>IF(PS_AnnualDetail,AG47,#REF!)</f>
        <v>#REF!</v>
      </c>
      <c r="DG47" s="484">
        <f t="shared" si="122"/>
        <v>6764863.5906249983</v>
      </c>
      <c r="DH47" s="483">
        <f t="shared" si="122"/>
        <v>13607420.154037498</v>
      </c>
      <c r="DI47" s="484">
        <f t="shared" si="122"/>
        <v>23636416.109950423</v>
      </c>
      <c r="DJ47"/>
      <c r="DK47" s="213"/>
      <c r="DL47" s="213">
        <f t="shared" si="123"/>
        <v>0</v>
      </c>
      <c r="DM47" s="213">
        <f t="shared" si="123"/>
        <v>0</v>
      </c>
      <c r="DN47" s="213">
        <f t="shared" si="123"/>
        <v>0</v>
      </c>
      <c r="DO47" s="213">
        <f t="shared" si="123"/>
        <v>0</v>
      </c>
      <c r="DP47" s="213">
        <f t="shared" si="123"/>
        <v>0</v>
      </c>
      <c r="DQ47" s="213">
        <f t="shared" si="123"/>
        <v>0</v>
      </c>
      <c r="DR47" s="213">
        <f t="shared" si="123"/>
        <v>0</v>
      </c>
      <c r="DS47" s="213">
        <f t="shared" si="123"/>
        <v>0</v>
      </c>
      <c r="DT47" s="213">
        <f t="shared" si="123"/>
        <v>0</v>
      </c>
      <c r="DU47" s="213">
        <f t="shared" si="123"/>
        <v>0</v>
      </c>
      <c r="DV47" s="213">
        <f t="shared" si="123"/>
        <v>0</v>
      </c>
      <c r="DW47" s="213">
        <f t="shared" si="123"/>
        <v>0</v>
      </c>
      <c r="DX47" s="94">
        <f>SUM(DL47:DW47)</f>
        <v>0</v>
      </c>
      <c r="DY47" s="213" t="e">
        <f>IF(PS_AnnualDetail,AG47,#REF!)-DF47</f>
        <v>#REF!</v>
      </c>
      <c r="DZ47" s="94">
        <f t="shared" si="124"/>
        <v>0</v>
      </c>
      <c r="EA47" s="93">
        <f t="shared" si="124"/>
        <v>0</v>
      </c>
      <c r="EB47" s="94">
        <f t="shared" si="124"/>
        <v>0</v>
      </c>
      <c r="EC47"/>
    </row>
    <row r="48" spans="1:133" ht="12.4" customHeight="1" thickBot="1" x14ac:dyDescent="0.25">
      <c r="A48" s="53"/>
      <c r="B48" s="212"/>
      <c r="C48" s="212"/>
      <c r="D48" s="212"/>
      <c r="E48" s="212"/>
      <c r="F48" s="212"/>
      <c r="G48" s="103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103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103"/>
      <c r="AH48" s="885"/>
      <c r="AI48" s="885"/>
      <c r="AJ48" s="885"/>
      <c r="AK48" s="885"/>
      <c r="AL48" s="885"/>
      <c r="AM48" s="885"/>
      <c r="AN48" s="885"/>
      <c r="AO48" s="885"/>
      <c r="AP48"/>
      <c r="AQ48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103"/>
      <c r="DF48" s="212"/>
      <c r="DG48" s="103"/>
      <c r="DH48" s="102"/>
      <c r="DI48" s="103"/>
      <c r="DJ48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94"/>
      <c r="DY48" s="213"/>
      <c r="DZ48" s="94"/>
      <c r="EA48" s="93"/>
      <c r="EB48" s="94"/>
      <c r="EC48"/>
    </row>
    <row r="49" spans="1:132" s="436" customFormat="1" ht="16.149999999999999" customHeight="1" x14ac:dyDescent="0.2">
      <c r="A49" s="256" t="s">
        <v>318</v>
      </c>
      <c r="B49" s="759"/>
      <c r="C49" s="759">
        <f t="shared" ref="C49:F49" si="125">C45-C46-C47</f>
        <v>-200</v>
      </c>
      <c r="D49" s="759">
        <f t="shared" si="125"/>
        <v>-52500</v>
      </c>
      <c r="E49" s="759">
        <f t="shared" si="125"/>
        <v>-200</v>
      </c>
      <c r="F49" s="759">
        <f t="shared" si="125"/>
        <v>-200</v>
      </c>
      <c r="G49" s="760">
        <f>SUM(C49:F49)</f>
        <v>-53100</v>
      </c>
      <c r="H49" s="759">
        <f t="shared" ref="H49" si="126">H45-H46-H47</f>
        <v>-237427.41666666666</v>
      </c>
      <c r="I49" s="759">
        <f t="shared" ref="I49:S49" si="127">I45-I46-I47</f>
        <v>-200092.08333333334</v>
      </c>
      <c r="J49" s="759">
        <f t="shared" si="127"/>
        <v>-176092.08333333334</v>
      </c>
      <c r="K49" s="759">
        <f t="shared" si="127"/>
        <v>-32092.083333333336</v>
      </c>
      <c r="L49" s="759">
        <f t="shared" si="127"/>
        <v>-27092.083333333336</v>
      </c>
      <c r="M49" s="759">
        <f t="shared" si="127"/>
        <v>-27092.083333333336</v>
      </c>
      <c r="N49" s="759">
        <f t="shared" si="127"/>
        <v>-53519.166666666664</v>
      </c>
      <c r="O49" s="759">
        <f t="shared" si="127"/>
        <v>-53519.166666666664</v>
      </c>
      <c r="P49" s="759">
        <f t="shared" si="127"/>
        <v>-53519.166666666664</v>
      </c>
      <c r="Q49" s="759">
        <f t="shared" si="127"/>
        <v>-56221.166666666664</v>
      </c>
      <c r="R49" s="759">
        <f t="shared" si="127"/>
        <v>-60721.166666666664</v>
      </c>
      <c r="S49" s="759">
        <f t="shared" si="127"/>
        <v>-60721.166666666664</v>
      </c>
      <c r="T49" s="760">
        <f>SUM(H49:S49)</f>
        <v>-1038108.8333333333</v>
      </c>
      <c r="U49" s="759">
        <f t="shared" ref="U49:AF49" si="128">U45-U46-U47</f>
        <v>-246388.00000000003</v>
      </c>
      <c r="V49" s="759">
        <f t="shared" si="128"/>
        <v>-262888</v>
      </c>
      <c r="W49" s="759">
        <f t="shared" si="128"/>
        <v>243653.66666666683</v>
      </c>
      <c r="X49" s="759">
        <f t="shared" si="128"/>
        <v>338528.66666666674</v>
      </c>
      <c r="Y49" s="759">
        <f t="shared" si="128"/>
        <v>423570.33333333337</v>
      </c>
      <c r="Z49" s="759">
        <f t="shared" si="128"/>
        <v>515445.33333333337</v>
      </c>
      <c r="AA49" s="759">
        <f t="shared" si="128"/>
        <v>282530.12083333323</v>
      </c>
      <c r="AB49" s="759">
        <f t="shared" si="128"/>
        <v>449719.77916666667</v>
      </c>
      <c r="AC49" s="759">
        <f t="shared" si="128"/>
        <v>509438.52916666673</v>
      </c>
      <c r="AD49" s="759">
        <f t="shared" si="128"/>
        <v>569157.27916666679</v>
      </c>
      <c r="AE49" s="759">
        <f t="shared" si="128"/>
        <v>628876.02916666679</v>
      </c>
      <c r="AF49" s="759">
        <f t="shared" si="128"/>
        <v>688594.77916666679</v>
      </c>
      <c r="AG49" s="760">
        <f>SUM(U49:AF49)</f>
        <v>4140238.5166666675</v>
      </c>
      <c r="AH49" s="1029">
        <f t="shared" ref="AH49:AO49" si="129">AH45-AH46-AH47</f>
        <v>12563318.096874997</v>
      </c>
      <c r="AI49" s="1029">
        <f t="shared" si="129"/>
        <v>25270923.143212497</v>
      </c>
      <c r="AJ49" s="1029">
        <f t="shared" si="129"/>
        <v>43896201.347050786</v>
      </c>
      <c r="AK49" s="1029">
        <f t="shared" si="129"/>
        <v>68468607.932519495</v>
      </c>
      <c r="AL49" s="1029">
        <f t="shared" si="129"/>
        <v>90250413.185736701</v>
      </c>
      <c r="AM49" s="1029">
        <f t="shared" si="129"/>
        <v>106219396.19699867</v>
      </c>
      <c r="AN49" s="1029">
        <f t="shared" si="129"/>
        <v>121253944.81841807</v>
      </c>
      <c r="AO49" s="1029">
        <f t="shared" si="129"/>
        <v>136139963.03747809</v>
      </c>
      <c r="CR49" s="759"/>
      <c r="CS49" s="759" t="e">
        <f t="shared" ref="CS49:DD49" si="130">profit_before_interest_and_taxes_actual-interest_expense_actual-taxes_incurred_actual</f>
        <v>#REF!</v>
      </c>
      <c r="CT49" s="759" t="e">
        <f t="shared" si="130"/>
        <v>#REF!</v>
      </c>
      <c r="CU49" s="759" t="e">
        <f t="shared" si="130"/>
        <v>#REF!</v>
      </c>
      <c r="CV49" s="759" t="e">
        <f t="shared" si="130"/>
        <v>#REF!</v>
      </c>
      <c r="CW49" s="759" t="e">
        <f t="shared" si="130"/>
        <v>#REF!</v>
      </c>
      <c r="CX49" s="759" t="e">
        <f t="shared" si="130"/>
        <v>#REF!</v>
      </c>
      <c r="CY49" s="759" t="e">
        <f t="shared" si="130"/>
        <v>#REF!</v>
      </c>
      <c r="CZ49" s="759" t="e">
        <f t="shared" si="130"/>
        <v>#REF!</v>
      </c>
      <c r="DA49" s="759" t="e">
        <f t="shared" si="130"/>
        <v>#REF!</v>
      </c>
      <c r="DB49" s="759" t="e">
        <f t="shared" si="130"/>
        <v>#REF!</v>
      </c>
      <c r="DC49" s="759" t="e">
        <f t="shared" si="130"/>
        <v>#REF!</v>
      </c>
      <c r="DD49" s="759" t="e">
        <f t="shared" si="130"/>
        <v>#REF!</v>
      </c>
      <c r="DE49" s="760" t="e">
        <f>SUM(CS49:DD49)</f>
        <v>#REF!</v>
      </c>
      <c r="DF49" s="759" t="e">
        <f>profit_before_interest_and_taxes_actual-interest_expense_actual-taxes_incurred_actual</f>
        <v>#REF!</v>
      </c>
      <c r="DG49" s="760" t="e">
        <f>profit_before_interest_and_taxes_actual-interest_expense_actual-taxes_incurred_actual</f>
        <v>#REF!</v>
      </c>
      <c r="DH49" s="759" t="e">
        <f>profit_before_interest_and_taxes_actual-interest_expense_actual-taxes_incurred_actual</f>
        <v>#REF!</v>
      </c>
      <c r="DI49" s="760" t="e">
        <f>profit_before_interest_and_taxes_actual-interest_expense_actual-taxes_incurred_actual</f>
        <v>#REF!</v>
      </c>
      <c r="DK49" s="761"/>
      <c r="DL49" s="761" t="e">
        <f t="shared" ref="DL49:DW49" si="131">CS49-H49</f>
        <v>#REF!</v>
      </c>
      <c r="DM49" s="761" t="e">
        <f t="shared" si="131"/>
        <v>#REF!</v>
      </c>
      <c r="DN49" s="761" t="e">
        <f t="shared" si="131"/>
        <v>#REF!</v>
      </c>
      <c r="DO49" s="761" t="e">
        <f t="shared" si="131"/>
        <v>#REF!</v>
      </c>
      <c r="DP49" s="761" t="e">
        <f t="shared" si="131"/>
        <v>#REF!</v>
      </c>
      <c r="DQ49" s="761" t="e">
        <f t="shared" si="131"/>
        <v>#REF!</v>
      </c>
      <c r="DR49" s="761" t="e">
        <f t="shared" si="131"/>
        <v>#REF!</v>
      </c>
      <c r="DS49" s="761" t="e">
        <f t="shared" si="131"/>
        <v>#REF!</v>
      </c>
      <c r="DT49" s="761" t="e">
        <f t="shared" si="131"/>
        <v>#REF!</v>
      </c>
      <c r="DU49" s="761" t="e">
        <f t="shared" si="131"/>
        <v>#REF!</v>
      </c>
      <c r="DV49" s="761" t="e">
        <f t="shared" si="131"/>
        <v>#REF!</v>
      </c>
      <c r="DW49" s="761" t="e">
        <f t="shared" si="131"/>
        <v>#REF!</v>
      </c>
      <c r="DX49" s="762" t="e">
        <f>SUM(DL49:DW49)</f>
        <v>#REF!</v>
      </c>
      <c r="DY49" s="761" t="e">
        <f>DF49-IF(PS_AnnualDetail,AG49,#REF!)</f>
        <v>#REF!</v>
      </c>
      <c r="DZ49" s="762" t="e">
        <f>DG49-AH49</f>
        <v>#REF!</v>
      </c>
      <c r="EA49" s="761" t="e">
        <f>DH49-AI49</f>
        <v>#REF!</v>
      </c>
      <c r="EB49" s="762" t="e">
        <f>DI49-AJ49</f>
        <v>#REF!</v>
      </c>
    </row>
    <row r="50" spans="1:132" s="706" customFormat="1" ht="12.4" customHeight="1" x14ac:dyDescent="0.2">
      <c r="A50" s="714" t="s">
        <v>287</v>
      </c>
      <c r="B50" s="708"/>
      <c r="C50" s="715" t="str">
        <f t="shared" ref="C50:F50" si="132">IF(C3&gt;0,C49/C3,"n/a")</f>
        <v>n/a</v>
      </c>
      <c r="D50" s="715" t="str">
        <f t="shared" si="132"/>
        <v>n/a</v>
      </c>
      <c r="E50" s="715" t="str">
        <f t="shared" si="132"/>
        <v>n/a</v>
      </c>
      <c r="F50" s="715" t="str">
        <f t="shared" si="132"/>
        <v>n/a</v>
      </c>
      <c r="G50" s="968" t="str">
        <f t="shared" ref="G50" si="133">IF(G3&gt;0,G49/G3,"n/a")</f>
        <v>n/a</v>
      </c>
      <c r="H50" s="715" t="str">
        <f t="shared" ref="H50:AO50" si="134">IF(H3&gt;0,H49/H3,"n/a")</f>
        <v>n/a</v>
      </c>
      <c r="I50" s="715" t="str">
        <f t="shared" ref="I50:S50" si="135">IF(I3&gt;0,I49/I3,"n/a")</f>
        <v>n/a</v>
      </c>
      <c r="J50" s="715" t="str">
        <f t="shared" si="135"/>
        <v>n/a</v>
      </c>
      <c r="K50" s="715" t="str">
        <f t="shared" si="135"/>
        <v>n/a</v>
      </c>
      <c r="L50" s="715" t="str">
        <f t="shared" si="135"/>
        <v>n/a</v>
      </c>
      <c r="M50" s="715" t="str">
        <f t="shared" si="135"/>
        <v>n/a</v>
      </c>
      <c r="N50" s="715" t="str">
        <f t="shared" si="135"/>
        <v>n/a</v>
      </c>
      <c r="O50" s="715" t="str">
        <f t="shared" si="135"/>
        <v>n/a</v>
      </c>
      <c r="P50" s="715" t="str">
        <f t="shared" si="135"/>
        <v>n/a</v>
      </c>
      <c r="Q50" s="715" t="str">
        <f t="shared" si="135"/>
        <v>n/a</v>
      </c>
      <c r="R50" s="715" t="str">
        <f t="shared" si="135"/>
        <v>n/a</v>
      </c>
      <c r="S50" s="715" t="str">
        <f t="shared" si="135"/>
        <v>n/a</v>
      </c>
      <c r="T50" s="968" t="str">
        <f t="shared" si="134"/>
        <v>n/a</v>
      </c>
      <c r="U50" s="715" t="str">
        <f t="shared" si="134"/>
        <v>n/a</v>
      </c>
      <c r="V50" s="715" t="str">
        <f t="shared" ref="V50:AF50" si="136">IF(V3&gt;0,V49/V3,"n/a")</f>
        <v>n/a</v>
      </c>
      <c r="W50" s="715">
        <f t="shared" si="136"/>
        <v>0.42122730055825702</v>
      </c>
      <c r="X50" s="715">
        <f t="shared" si="136"/>
        <v>0.4789088122605365</v>
      </c>
      <c r="Y50" s="715">
        <f t="shared" si="136"/>
        <v>0.51635240634920643</v>
      </c>
      <c r="Z50" s="715">
        <f t="shared" si="136"/>
        <v>0.56102893424036282</v>
      </c>
      <c r="AA50" s="715">
        <f t="shared" si="136"/>
        <v>0.27775618637992822</v>
      </c>
      <c r="AB50" s="715">
        <f t="shared" si="136"/>
        <v>0.40311016619981327</v>
      </c>
      <c r="AC50" s="715">
        <f t="shared" si="136"/>
        <v>0.41961474731874737</v>
      </c>
      <c r="AD50" s="715">
        <f t="shared" si="136"/>
        <v>0.43364364126984134</v>
      </c>
      <c r="AE50" s="715">
        <f t="shared" si="136"/>
        <v>0.44571501513473616</v>
      </c>
      <c r="AF50" s="715">
        <f t="shared" si="136"/>
        <v>0.45621186197377511</v>
      </c>
      <c r="AG50" s="968">
        <f t="shared" si="134"/>
        <v>0.39043890175738472</v>
      </c>
      <c r="AH50" s="1030">
        <f t="shared" si="134"/>
        <v>0.38855565397680142</v>
      </c>
      <c r="AI50" s="1030">
        <f t="shared" si="134"/>
        <v>0.40935237967503135</v>
      </c>
      <c r="AJ50" s="1030">
        <f t="shared" si="134"/>
        <v>0.41973495745100647</v>
      </c>
      <c r="AK50" s="1030">
        <f t="shared" si="134"/>
        <v>0.42599738056103692</v>
      </c>
      <c r="AL50" s="1030">
        <f t="shared" si="134"/>
        <v>0.42842119080770685</v>
      </c>
      <c r="AM50" s="1030">
        <f t="shared" si="134"/>
        <v>0.42901056561202711</v>
      </c>
      <c r="AN50" s="1030">
        <f t="shared" si="134"/>
        <v>0.42917938395219735</v>
      </c>
      <c r="AO50" s="1030">
        <f t="shared" si="134"/>
        <v>0.42910188842435976</v>
      </c>
      <c r="CR50" s="708"/>
      <c r="CS50" s="709" t="e">
        <f t="shared" ref="CS50:DI50" si="137">IF(sales_actual&lt;&gt;0,net_profit_actual/sales_actual,0)</f>
        <v>#REF!</v>
      </c>
      <c r="CT50" s="709" t="e">
        <f t="shared" si="137"/>
        <v>#REF!</v>
      </c>
      <c r="CU50" s="709" t="e">
        <f t="shared" si="137"/>
        <v>#REF!</v>
      </c>
      <c r="CV50" s="709" t="e">
        <f t="shared" si="137"/>
        <v>#REF!</v>
      </c>
      <c r="CW50" s="709" t="e">
        <f t="shared" si="137"/>
        <v>#REF!</v>
      </c>
      <c r="CX50" s="709" t="e">
        <f t="shared" si="137"/>
        <v>#REF!</v>
      </c>
      <c r="CY50" s="709" t="e">
        <f t="shared" si="137"/>
        <v>#REF!</v>
      </c>
      <c r="CZ50" s="709" t="e">
        <f t="shared" si="137"/>
        <v>#REF!</v>
      </c>
      <c r="DA50" s="709" t="e">
        <f t="shared" si="137"/>
        <v>#REF!</v>
      </c>
      <c r="DB50" s="709" t="e">
        <f t="shared" si="137"/>
        <v>#REF!</v>
      </c>
      <c r="DC50" s="709" t="e">
        <f t="shared" si="137"/>
        <v>#REF!</v>
      </c>
      <c r="DD50" s="709" t="e">
        <f t="shared" si="137"/>
        <v>#REF!</v>
      </c>
      <c r="DE50" s="710" t="e">
        <f t="shared" si="137"/>
        <v>#REF!</v>
      </c>
      <c r="DF50" s="709" t="e">
        <f t="shared" si="137"/>
        <v>#REF!</v>
      </c>
      <c r="DG50" s="710" t="e">
        <f t="shared" si="137"/>
        <v>#REF!</v>
      </c>
      <c r="DH50" s="709" t="e">
        <f t="shared" si="137"/>
        <v>#REF!</v>
      </c>
      <c r="DI50" s="710" t="e">
        <f t="shared" si="137"/>
        <v>#REF!</v>
      </c>
      <c r="DK50" s="711"/>
      <c r="DL50" s="712" t="e">
        <f t="shared" ref="DL50:EB50" si="138">IF(sales_variance&lt;&gt;0,net_profit_variance/sales_variance,0)</f>
        <v>#REF!</v>
      </c>
      <c r="DM50" s="712" t="e">
        <f t="shared" si="138"/>
        <v>#REF!</v>
      </c>
      <c r="DN50" s="712" t="e">
        <f t="shared" si="138"/>
        <v>#REF!</v>
      </c>
      <c r="DO50" s="712" t="e">
        <f t="shared" si="138"/>
        <v>#REF!</v>
      </c>
      <c r="DP50" s="712" t="e">
        <f t="shared" si="138"/>
        <v>#REF!</v>
      </c>
      <c r="DQ50" s="712" t="e">
        <f t="shared" si="138"/>
        <v>#REF!</v>
      </c>
      <c r="DR50" s="712" t="e">
        <f t="shared" si="138"/>
        <v>#REF!</v>
      </c>
      <c r="DS50" s="712" t="e">
        <f t="shared" si="138"/>
        <v>#REF!</v>
      </c>
      <c r="DT50" s="712" t="e">
        <f t="shared" si="138"/>
        <v>#REF!</v>
      </c>
      <c r="DU50" s="712" t="e">
        <f t="shared" si="138"/>
        <v>#REF!</v>
      </c>
      <c r="DV50" s="712" t="e">
        <f t="shared" si="138"/>
        <v>#REF!</v>
      </c>
      <c r="DW50" s="712" t="e">
        <f t="shared" si="138"/>
        <v>#REF!</v>
      </c>
      <c r="DX50" s="713" t="e">
        <f t="shared" si="138"/>
        <v>#REF!</v>
      </c>
      <c r="DY50" s="712" t="e">
        <f t="shared" si="138"/>
        <v>#REF!</v>
      </c>
      <c r="DZ50" s="713" t="e">
        <f t="shared" si="138"/>
        <v>#REF!</v>
      </c>
      <c r="EA50" s="712" t="e">
        <f t="shared" si="138"/>
        <v>#REF!</v>
      </c>
      <c r="EB50" s="713" t="e">
        <f t="shared" si="138"/>
        <v>#REF!</v>
      </c>
    </row>
    <row r="51" spans="1:132" ht="12.4" customHeight="1" x14ac:dyDescent="0.2">
      <c r="A51"/>
      <c r="B51"/>
      <c r="C51"/>
      <c r="D51"/>
      <c r="E51"/>
      <c r="F51"/>
      <c r="G51" s="31"/>
      <c r="AG51"/>
      <c r="AP51"/>
      <c r="AQ51"/>
      <c r="CR51"/>
      <c r="DF51"/>
      <c r="DJ51"/>
      <c r="DK51"/>
      <c r="DY51"/>
    </row>
    <row r="52" spans="1:132" ht="12.4" customHeight="1" x14ac:dyDescent="0.2">
      <c r="AP52"/>
    </row>
    <row r="53" spans="1:132" ht="12.4" customHeight="1" x14ac:dyDescent="0.2">
      <c r="A53"/>
      <c r="AP53"/>
      <c r="CR53"/>
    </row>
    <row r="54" spans="1:132" ht="12.4" customHeight="1" x14ac:dyDescent="0.2">
      <c r="A54"/>
      <c r="AP54"/>
      <c r="CR54"/>
    </row>
    <row r="55" spans="1:132" ht="12.4" customHeight="1" x14ac:dyDescent="0.2">
      <c r="A55"/>
      <c r="AP55"/>
    </row>
    <row r="56" spans="1:132" ht="12.4" customHeight="1" x14ac:dyDescent="0.2">
      <c r="A56"/>
    </row>
    <row r="57" spans="1:132" ht="12.4" customHeight="1" x14ac:dyDescent="0.2">
      <c r="A57"/>
    </row>
    <row r="58" spans="1:132" ht="12.4" customHeight="1" x14ac:dyDescent="0.2">
      <c r="A58"/>
    </row>
    <row r="59" spans="1:132" ht="12.4" customHeight="1" x14ac:dyDescent="0.2">
      <c r="A59"/>
      <c r="B59"/>
      <c r="C59"/>
      <c r="D59"/>
      <c r="E59"/>
      <c r="F59"/>
      <c r="G59" s="31"/>
      <c r="H59"/>
      <c r="I59"/>
      <c r="J59"/>
      <c r="CS59"/>
      <c r="CT59"/>
      <c r="CU59"/>
      <c r="CV59"/>
      <c r="DL59"/>
      <c r="DM59"/>
      <c r="DN59"/>
      <c r="DO59"/>
    </row>
    <row r="60" spans="1:132" ht="12.4" customHeight="1" x14ac:dyDescent="0.2">
      <c r="A60"/>
      <c r="B60"/>
      <c r="C60"/>
      <c r="D60"/>
      <c r="E60"/>
      <c r="F60"/>
      <c r="G60" s="31"/>
      <c r="H60"/>
      <c r="I60"/>
      <c r="J60"/>
      <c r="CS60"/>
      <c r="CT60"/>
      <c r="CU60"/>
      <c r="CV60"/>
      <c r="DL60"/>
      <c r="DM60"/>
      <c r="DN60"/>
      <c r="DO60"/>
    </row>
    <row r="61" spans="1:132" ht="12.4" customHeight="1" x14ac:dyDescent="0.2">
      <c r="A61"/>
      <c r="B61"/>
      <c r="C61"/>
      <c r="D61"/>
      <c r="E61"/>
      <c r="F61"/>
      <c r="G61" s="31"/>
      <c r="H61"/>
      <c r="I61"/>
      <c r="J61"/>
      <c r="CS61"/>
      <c r="CT61"/>
      <c r="CU61"/>
      <c r="CV61"/>
      <c r="DL61"/>
      <c r="DM61"/>
      <c r="DN61"/>
      <c r="DO61"/>
    </row>
    <row r="62" spans="1:132" ht="12.4" customHeight="1" x14ac:dyDescent="0.2">
      <c r="A62"/>
      <c r="B62"/>
      <c r="C62"/>
      <c r="D62"/>
      <c r="E62"/>
      <c r="F62"/>
      <c r="G62" s="31"/>
      <c r="H62"/>
      <c r="I62"/>
      <c r="J62"/>
      <c r="K62"/>
      <c r="CR62" s="22"/>
      <c r="CS62"/>
      <c r="CT62"/>
      <c r="CU62"/>
      <c r="CV62"/>
      <c r="CW62"/>
      <c r="DL62"/>
      <c r="DM62"/>
      <c r="DN62"/>
      <c r="DO62"/>
      <c r="DP62"/>
    </row>
    <row r="63" spans="1:132" ht="12.4" customHeight="1" x14ac:dyDescent="0.2">
      <c r="A63"/>
      <c r="B63"/>
      <c r="C63"/>
      <c r="D63"/>
      <c r="E63"/>
      <c r="F63"/>
      <c r="G63" s="31"/>
      <c r="H63"/>
      <c r="I63"/>
      <c r="J63"/>
      <c r="K63"/>
      <c r="CS63"/>
      <c r="CT63"/>
      <c r="CU63"/>
      <c r="CV63"/>
      <c r="CW63"/>
      <c r="DL63"/>
      <c r="DM63"/>
      <c r="DN63"/>
      <c r="DO63"/>
      <c r="DP63"/>
    </row>
    <row r="64" spans="1:132" ht="12.4" customHeight="1" x14ac:dyDescent="0.2">
      <c r="A64"/>
      <c r="B64"/>
      <c r="C64"/>
      <c r="D64"/>
      <c r="E64"/>
      <c r="F64"/>
      <c r="G64" s="31"/>
      <c r="H64"/>
      <c r="I64"/>
      <c r="J64"/>
      <c r="CS64"/>
      <c r="CT64"/>
      <c r="CU64"/>
      <c r="CV64"/>
      <c r="DL64"/>
      <c r="DM64"/>
      <c r="DN64"/>
      <c r="DO64"/>
    </row>
    <row r="65" spans="1:146" ht="12.4" customHeight="1" x14ac:dyDescent="0.2">
      <c r="A65"/>
    </row>
    <row r="66" spans="1:146" ht="12.4" customHeight="1" x14ac:dyDescent="0.2">
      <c r="A66"/>
      <c r="M66"/>
      <c r="N66"/>
      <c r="O66"/>
      <c r="P66"/>
      <c r="S66"/>
      <c r="T66"/>
      <c r="U66" s="34"/>
      <c r="V66" s="34"/>
      <c r="W66" s="34"/>
      <c r="X66" s="34"/>
      <c r="Y66" s="34"/>
      <c r="Z66"/>
      <c r="AA66"/>
      <c r="AB66" s="34"/>
      <c r="AC66" s="34"/>
      <c r="AD66" s="34"/>
      <c r="AE66" s="34"/>
      <c r="AF66"/>
      <c r="AG66"/>
      <c r="AH66"/>
      <c r="CX66"/>
      <c r="CY66"/>
      <c r="CZ66"/>
      <c r="DA66"/>
      <c r="DD66"/>
      <c r="DE66"/>
      <c r="DF66"/>
      <c r="DG66"/>
      <c r="DH66" s="22"/>
      <c r="DI66" s="22"/>
      <c r="DJ66" s="22"/>
      <c r="DK66" s="22"/>
      <c r="DL66" s="22"/>
      <c r="DM66" s="22"/>
      <c r="DN66" s="22"/>
      <c r="DQ66"/>
      <c r="DR66"/>
      <c r="DS66"/>
      <c r="DT66"/>
      <c r="DW66"/>
      <c r="DX66"/>
      <c r="DY66"/>
      <c r="DZ66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</row>
    <row r="67" spans="1:146" ht="12.4" customHeight="1" x14ac:dyDescent="0.2">
      <c r="A67"/>
      <c r="M67"/>
      <c r="N67"/>
      <c r="O67"/>
      <c r="P67"/>
      <c r="R67" s="258"/>
      <c r="S67"/>
      <c r="T67"/>
      <c r="U67" s="259"/>
      <c r="V67" s="259"/>
      <c r="W67" s="259"/>
      <c r="X67" s="259"/>
      <c r="Y67" s="259"/>
      <c r="Z67"/>
      <c r="AA67"/>
      <c r="AB67" s="259"/>
      <c r="AC67" s="259"/>
      <c r="AD67" s="259"/>
      <c r="AE67" s="259"/>
      <c r="AF67"/>
      <c r="AG67"/>
      <c r="AH67"/>
      <c r="CX67"/>
      <c r="CY67"/>
      <c r="CZ67"/>
      <c r="DA67"/>
      <c r="DC67" s="258"/>
      <c r="DD67"/>
      <c r="DE67"/>
      <c r="DF67"/>
      <c r="DG67"/>
      <c r="DH67" s="22"/>
      <c r="DI67" s="22"/>
      <c r="DJ67" s="22"/>
      <c r="DK67" s="22"/>
      <c r="DL67" s="22"/>
      <c r="DM67" s="22"/>
      <c r="DN67" s="22"/>
      <c r="DQ67"/>
      <c r="DR67"/>
      <c r="DS67"/>
      <c r="DT67"/>
      <c r="DV67" s="258"/>
      <c r="DW67"/>
      <c r="DX67"/>
      <c r="DY67"/>
      <c r="DZ67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</row>
    <row r="68" spans="1:146" ht="12.4" customHeight="1" x14ac:dyDescent="0.2">
      <c r="A68"/>
      <c r="M68"/>
      <c r="N68"/>
      <c r="O68"/>
      <c r="P68"/>
      <c r="R68" s="260"/>
      <c r="S68"/>
      <c r="T68"/>
      <c r="U68" s="259"/>
      <c r="V68" s="259"/>
      <c r="W68" s="259"/>
      <c r="X68" s="259"/>
      <c r="Y68" s="259"/>
      <c r="Z68"/>
      <c r="AA68"/>
      <c r="AB68" s="259"/>
      <c r="AC68" s="259"/>
      <c r="AD68" s="259"/>
      <c r="AE68" s="259"/>
      <c r="AF68"/>
      <c r="AG68"/>
      <c r="AH68"/>
      <c r="CX68"/>
      <c r="CY68"/>
      <c r="CZ68"/>
      <c r="DA68"/>
      <c r="DC68" s="260"/>
      <c r="DD68"/>
      <c r="DE68"/>
      <c r="DF68"/>
      <c r="DG68"/>
      <c r="DH68" s="22"/>
      <c r="DI68" s="22"/>
      <c r="DJ68" s="22"/>
      <c r="DK68" s="22"/>
      <c r="DL68" s="22"/>
      <c r="DM68" s="22"/>
      <c r="DN68" s="22"/>
      <c r="DQ68"/>
      <c r="DR68"/>
      <c r="DS68"/>
      <c r="DT68"/>
      <c r="DV68" s="260"/>
      <c r="DW68"/>
      <c r="DX68"/>
      <c r="DY68"/>
      <c r="DZ68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</row>
    <row r="69" spans="1:146" ht="12.4" customHeight="1" x14ac:dyDescent="0.2">
      <c r="M69"/>
      <c r="N69"/>
      <c r="O69"/>
      <c r="P69"/>
      <c r="R69" s="260"/>
      <c r="S69"/>
      <c r="T69"/>
      <c r="U69" s="259"/>
      <c r="V69" s="259"/>
      <c r="W69" s="259"/>
      <c r="X69" s="259"/>
      <c r="Y69" s="259"/>
      <c r="Z69"/>
      <c r="AA69"/>
      <c r="AB69" s="259"/>
      <c r="AC69" s="259"/>
      <c r="AD69" s="259"/>
      <c r="AE69" s="259"/>
      <c r="AF69"/>
      <c r="AG69"/>
      <c r="AH69"/>
      <c r="CX69"/>
      <c r="CY69"/>
      <c r="CZ69"/>
      <c r="DA69"/>
      <c r="DC69" s="260"/>
      <c r="DD69"/>
      <c r="DE69"/>
      <c r="DF69"/>
      <c r="DG69"/>
      <c r="DH69" s="22"/>
      <c r="DI69" s="22"/>
      <c r="DJ69" s="22"/>
      <c r="DK69" s="22"/>
      <c r="DL69" s="22"/>
      <c r="DM69" s="22"/>
      <c r="DN69" s="22"/>
      <c r="DQ69"/>
      <c r="DR69"/>
      <c r="DS69"/>
      <c r="DT69"/>
      <c r="DV69" s="260"/>
      <c r="DW69"/>
      <c r="DX69"/>
      <c r="DY69"/>
      <c r="DZ69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</row>
    <row r="70" spans="1:146" ht="12.4" customHeight="1" x14ac:dyDescent="0.2">
      <c r="H70"/>
      <c r="M70"/>
      <c r="N70"/>
      <c r="O70"/>
      <c r="P70"/>
      <c r="R70" s="260"/>
      <c r="S70"/>
      <c r="T70"/>
      <c r="U70" s="259"/>
      <c r="V70" s="259"/>
      <c r="W70" s="259"/>
      <c r="X70" s="259"/>
      <c r="Y70" s="259"/>
      <c r="Z70"/>
      <c r="AA70"/>
      <c r="AB70" s="259"/>
      <c r="AC70" s="259"/>
      <c r="AD70" s="259"/>
      <c r="AE70" s="259"/>
      <c r="AF70"/>
      <c r="AG70"/>
      <c r="AH70"/>
      <c r="CX70"/>
      <c r="CY70"/>
      <c r="CZ70"/>
      <c r="DA70"/>
      <c r="DC70" s="260"/>
      <c r="DD70"/>
      <c r="DE70"/>
      <c r="DF70"/>
      <c r="DG70"/>
      <c r="DH70" s="22"/>
      <c r="DI70" s="22"/>
      <c r="DJ70" s="22"/>
      <c r="DK70" s="22"/>
      <c r="DL70" s="22"/>
      <c r="DM70" s="22"/>
      <c r="DN70" s="22"/>
      <c r="DQ70"/>
      <c r="DR70"/>
      <c r="DS70"/>
      <c r="DT70"/>
      <c r="DV70" s="260"/>
      <c r="DW70"/>
      <c r="DX70"/>
      <c r="DY70"/>
      <c r="DZ70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</row>
    <row r="71" spans="1:146" ht="12.4" customHeight="1" x14ac:dyDescent="0.2">
      <c r="H71"/>
      <c r="M71"/>
      <c r="N71"/>
      <c r="O71"/>
      <c r="P71"/>
      <c r="R71" s="260"/>
      <c r="S71"/>
      <c r="T71"/>
      <c r="U71" s="259"/>
      <c r="V71" s="259"/>
      <c r="W71" s="259"/>
      <c r="X71" s="259"/>
      <c r="Y71" s="259"/>
      <c r="Z71"/>
      <c r="AA71"/>
      <c r="AB71" s="259"/>
      <c r="AC71" s="259"/>
      <c r="AD71" s="259"/>
      <c r="AE71" s="259"/>
      <c r="AF71"/>
      <c r="AG71"/>
      <c r="AH71"/>
      <c r="CX71"/>
      <c r="CY71"/>
      <c r="CZ71"/>
      <c r="DA71"/>
      <c r="DC71" s="260"/>
      <c r="DD71"/>
      <c r="DE71"/>
      <c r="DF71"/>
      <c r="DG71"/>
      <c r="DH71" s="22"/>
      <c r="DI71" s="22"/>
      <c r="DJ71" s="22"/>
      <c r="DK71" s="22"/>
      <c r="DL71" s="22"/>
      <c r="DM71" s="22"/>
      <c r="DN71" s="22"/>
      <c r="DQ71"/>
      <c r="DR71"/>
      <c r="DS71"/>
      <c r="DT71"/>
      <c r="DV71" s="260"/>
      <c r="DW71"/>
      <c r="DX71"/>
      <c r="DY71"/>
      <c r="DZ71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</row>
    <row r="72" spans="1:146" ht="12.4" customHeight="1" x14ac:dyDescent="0.2">
      <c r="M72"/>
      <c r="N72"/>
      <c r="O72" s="34"/>
      <c r="P72" s="34"/>
      <c r="R72" s="260"/>
      <c r="S72"/>
      <c r="T72"/>
      <c r="U72" s="259"/>
      <c r="V72" s="259"/>
      <c r="W72" s="259"/>
      <c r="X72" s="259"/>
      <c r="Y72" s="259"/>
      <c r="Z72"/>
      <c r="AA72"/>
      <c r="AB72" s="259"/>
      <c r="AC72" s="259"/>
      <c r="AD72" s="259"/>
      <c r="AE72" s="259"/>
      <c r="AF72"/>
      <c r="AG72"/>
      <c r="AH72" s="34"/>
      <c r="CX72"/>
      <c r="CY72"/>
      <c r="CZ72" s="34"/>
      <c r="DA72" s="34"/>
      <c r="DC72" s="260"/>
      <c r="DD72"/>
      <c r="DE72"/>
      <c r="DF72" s="34"/>
      <c r="DG72" s="34"/>
      <c r="DH72" s="22"/>
      <c r="DI72" s="22"/>
      <c r="DJ72" s="22"/>
      <c r="DK72" s="22"/>
      <c r="DL72" s="22"/>
      <c r="DM72" s="22"/>
      <c r="DN72" s="22"/>
      <c r="DQ72"/>
      <c r="DR72"/>
      <c r="DS72" s="34"/>
      <c r="DT72" s="34"/>
      <c r="DV72" s="260"/>
      <c r="DW72"/>
      <c r="DX72"/>
      <c r="DY72" s="34"/>
      <c r="DZ72" s="34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</row>
    <row r="73" spans="1:146" ht="12.4" customHeight="1" x14ac:dyDescent="0.2">
      <c r="H73"/>
      <c r="M73"/>
      <c r="N73"/>
      <c r="O73" s="34"/>
      <c r="P73" s="34"/>
      <c r="R73" s="260"/>
      <c r="S73"/>
      <c r="T73"/>
      <c r="U73" s="259"/>
      <c r="V73" s="259"/>
      <c r="W73" s="259"/>
      <c r="X73" s="259"/>
      <c r="Y73" s="259"/>
      <c r="Z73"/>
      <c r="AA73"/>
      <c r="AB73" s="259"/>
      <c r="AC73" s="259"/>
      <c r="AD73" s="259"/>
      <c r="AE73" s="259"/>
      <c r="AF73"/>
      <c r="AG73"/>
      <c r="AH73" s="34"/>
      <c r="CX73"/>
      <c r="CY73"/>
      <c r="CZ73" s="34"/>
      <c r="DA73" s="34"/>
      <c r="DC73" s="260"/>
      <c r="DD73"/>
      <c r="DE73"/>
      <c r="DF73" s="34"/>
      <c r="DG73" s="34"/>
      <c r="DH73" s="22"/>
      <c r="DI73" s="22"/>
      <c r="DJ73" s="22"/>
      <c r="DK73" s="22"/>
      <c r="DL73" s="22"/>
      <c r="DM73" s="22"/>
      <c r="DN73" s="22"/>
      <c r="DQ73"/>
      <c r="DR73"/>
      <c r="DS73" s="34"/>
      <c r="DT73" s="34"/>
      <c r="DV73" s="260"/>
      <c r="DW73"/>
      <c r="DX73"/>
      <c r="DY73" s="34"/>
      <c r="DZ73" s="34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</row>
    <row r="74" spans="1:146" ht="12.4" customHeight="1" x14ac:dyDescent="0.2">
      <c r="H74"/>
      <c r="M74"/>
      <c r="N74"/>
      <c r="O74" s="34"/>
      <c r="P74" s="34"/>
      <c r="R74" s="260"/>
      <c r="S74"/>
      <c r="T74"/>
      <c r="U74" s="259"/>
      <c r="V74" s="259"/>
      <c r="W74" s="259"/>
      <c r="X74" s="259"/>
      <c r="Y74" s="259"/>
      <c r="Z74"/>
      <c r="AA74"/>
      <c r="AB74" s="259"/>
      <c r="AC74" s="259"/>
      <c r="AD74" s="259"/>
      <c r="AE74" s="259"/>
      <c r="AF74"/>
      <c r="AG74"/>
      <c r="AH74" s="34"/>
      <c r="CX74"/>
      <c r="CY74"/>
      <c r="CZ74" s="34"/>
      <c r="DA74" s="34"/>
      <c r="DC74" s="260"/>
      <c r="DD74"/>
      <c r="DE74"/>
      <c r="DF74" s="34"/>
      <c r="DG74" s="34"/>
      <c r="DH74" s="22"/>
      <c r="DI74" s="22"/>
      <c r="DJ74" s="22"/>
      <c r="DK74" s="22"/>
      <c r="DL74" s="22"/>
      <c r="DM74" s="22"/>
      <c r="DN74" s="22"/>
      <c r="DQ74"/>
      <c r="DR74"/>
      <c r="DS74" s="34"/>
      <c r="DT74" s="34"/>
      <c r="DV74" s="260"/>
      <c r="DW74"/>
      <c r="DX74"/>
      <c r="DY74" s="34"/>
      <c r="DZ74" s="34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</row>
    <row r="75" spans="1:146" ht="12.4" customHeight="1" x14ac:dyDescent="0.2">
      <c r="M75"/>
      <c r="N75"/>
      <c r="O75" s="34"/>
      <c r="P75" s="34"/>
      <c r="R75" s="260"/>
      <c r="S75"/>
      <c r="T75"/>
      <c r="U75" s="259"/>
      <c r="V75" s="259"/>
      <c r="W75" s="259"/>
      <c r="X75" s="259"/>
      <c r="Y75" s="259"/>
      <c r="Z75"/>
      <c r="AA75"/>
      <c r="AB75" s="259"/>
      <c r="AC75" s="259"/>
      <c r="AD75" s="259"/>
      <c r="AE75" s="259"/>
      <c r="AF75"/>
      <c r="AG75"/>
      <c r="AH75" s="34"/>
      <c r="CX75"/>
      <c r="CY75"/>
      <c r="CZ75" s="34"/>
      <c r="DA75" s="34"/>
      <c r="DC75" s="260"/>
      <c r="DD75"/>
      <c r="DE75"/>
      <c r="DF75" s="34"/>
      <c r="DG75" s="34"/>
      <c r="DH75" s="22"/>
      <c r="DI75" s="22"/>
      <c r="DJ75" s="22"/>
      <c r="DK75" s="22"/>
      <c r="DL75" s="22"/>
      <c r="DM75" s="22"/>
      <c r="DN75" s="22"/>
      <c r="DQ75"/>
      <c r="DR75"/>
      <c r="DS75" s="34"/>
      <c r="DT75" s="34"/>
      <c r="DV75" s="260"/>
      <c r="DW75"/>
      <c r="DX75"/>
      <c r="DY75" s="34"/>
      <c r="DZ75" s="34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</row>
    <row r="76" spans="1:146" ht="12.4" customHeight="1" x14ac:dyDescent="0.2">
      <c r="H76"/>
      <c r="M76"/>
      <c r="N76"/>
      <c r="O76" s="34"/>
      <c r="P76" s="34"/>
      <c r="R76" s="260"/>
      <c r="S76"/>
      <c r="T76"/>
      <c r="U76" s="259"/>
      <c r="V76" s="259"/>
      <c r="W76" s="259"/>
      <c r="X76" s="259"/>
      <c r="Y76" s="259"/>
      <c r="Z76"/>
      <c r="AA76"/>
      <c r="AB76" s="259"/>
      <c r="AC76" s="259"/>
      <c r="AD76" s="259"/>
      <c r="AE76" s="259"/>
      <c r="AF76"/>
      <c r="AG76"/>
      <c r="AH76" s="34"/>
      <c r="CX76"/>
      <c r="CY76"/>
      <c r="CZ76" s="34"/>
      <c r="DA76" s="34"/>
      <c r="DC76" s="260"/>
      <c r="DD76"/>
      <c r="DE76"/>
      <c r="DF76" s="34"/>
      <c r="DG76" s="34"/>
      <c r="DH76" s="22"/>
      <c r="DI76" s="22"/>
      <c r="DJ76" s="22"/>
      <c r="DK76" s="22"/>
      <c r="DL76" s="22"/>
      <c r="DM76" s="22"/>
      <c r="DN76" s="22"/>
      <c r="DQ76"/>
      <c r="DR76"/>
      <c r="DS76" s="34"/>
      <c r="DT76" s="34"/>
      <c r="DV76" s="260"/>
      <c r="DW76"/>
      <c r="DX76"/>
      <c r="DY76" s="34"/>
      <c r="DZ76" s="34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</row>
    <row r="77" spans="1:146" ht="12.4" customHeight="1" x14ac:dyDescent="0.2">
      <c r="H77"/>
      <c r="M77"/>
      <c r="N77"/>
      <c r="O77" s="34"/>
      <c r="P77" s="34"/>
      <c r="R77" s="260"/>
      <c r="S77"/>
      <c r="T77"/>
      <c r="U77" s="259"/>
      <c r="V77" s="259"/>
      <c r="W77" s="259"/>
      <c r="X77" s="259"/>
      <c r="Y77" s="259"/>
      <c r="Z77"/>
      <c r="AA77"/>
      <c r="AB77" s="259"/>
      <c r="AC77" s="259"/>
      <c r="AD77" s="259"/>
      <c r="AE77" s="259"/>
      <c r="AF77"/>
      <c r="AG77"/>
      <c r="AH77" s="34"/>
      <c r="CX77"/>
      <c r="CY77"/>
      <c r="CZ77" s="34"/>
      <c r="DA77" s="34"/>
      <c r="DC77" s="260"/>
      <c r="DD77"/>
      <c r="DE77"/>
      <c r="DF77" s="34"/>
      <c r="DG77" s="34"/>
      <c r="DH77" s="22"/>
      <c r="DI77" s="22"/>
      <c r="DJ77" s="22"/>
      <c r="DK77" s="22"/>
      <c r="DL77" s="22"/>
      <c r="DM77" s="22"/>
      <c r="DN77" s="22"/>
      <c r="DQ77"/>
      <c r="DR77"/>
      <c r="DS77" s="34"/>
      <c r="DT77" s="34"/>
      <c r="DV77" s="260"/>
      <c r="DW77"/>
      <c r="DX77"/>
      <c r="DY77" s="34"/>
      <c r="DZ77" s="34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</row>
    <row r="78" spans="1:146" ht="12.4" customHeight="1" x14ac:dyDescent="0.2">
      <c r="M78"/>
      <c r="N78"/>
      <c r="O78" s="34"/>
      <c r="P78" s="34"/>
      <c r="R78" s="260"/>
      <c r="S78"/>
      <c r="T78"/>
      <c r="U78" s="259"/>
      <c r="V78" s="259"/>
      <c r="W78" s="259"/>
      <c r="X78" s="259"/>
      <c r="Y78" s="259"/>
      <c r="Z78"/>
      <c r="AA78"/>
      <c r="AB78" s="259"/>
      <c r="AC78" s="259"/>
      <c r="AD78" s="259"/>
      <c r="AE78" s="259"/>
      <c r="AF78"/>
      <c r="AG78"/>
      <c r="AH78" s="34"/>
      <c r="CX78"/>
      <c r="CY78"/>
      <c r="CZ78" s="34"/>
      <c r="DA78" s="34"/>
      <c r="DC78" s="260"/>
      <c r="DD78"/>
      <c r="DE78"/>
      <c r="DF78" s="34"/>
      <c r="DG78" s="34"/>
      <c r="DH78" s="22"/>
      <c r="DI78" s="22"/>
      <c r="DJ78" s="22"/>
      <c r="DK78" s="22"/>
      <c r="DL78" s="22"/>
      <c r="DM78" s="22"/>
      <c r="DN78" s="22"/>
      <c r="DQ78"/>
      <c r="DR78"/>
      <c r="DS78" s="34"/>
      <c r="DT78" s="34"/>
      <c r="DV78" s="260"/>
      <c r="DW78"/>
      <c r="DX78"/>
      <c r="DY78" s="34"/>
      <c r="DZ78" s="34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</row>
    <row r="79" spans="1:146" ht="12.4" customHeight="1" x14ac:dyDescent="0.2">
      <c r="M79"/>
      <c r="N79" s="34"/>
      <c r="O79"/>
      <c r="P79" s="34"/>
      <c r="S79"/>
      <c r="T79" s="34"/>
      <c r="U79" s="34"/>
      <c r="V79" s="34"/>
      <c r="W79" s="34"/>
      <c r="X79" s="34"/>
      <c r="Y79" s="34"/>
      <c r="Z79"/>
      <c r="AA79" s="34"/>
      <c r="AB79" s="34"/>
      <c r="AC79" s="34"/>
      <c r="AD79" s="34"/>
      <c r="AE79" s="34"/>
      <c r="AF79"/>
      <c r="AG79" s="34"/>
      <c r="AH79" s="34"/>
      <c r="CX79"/>
      <c r="CY79" s="34"/>
      <c r="CZ79"/>
      <c r="DA79" s="34"/>
      <c r="DD79"/>
      <c r="DE79" s="34"/>
      <c r="DF79"/>
      <c r="DG79" s="34"/>
      <c r="DH79" s="22"/>
      <c r="DI79" s="22"/>
      <c r="DJ79" s="22"/>
      <c r="DK79" s="22"/>
      <c r="DL79" s="22"/>
      <c r="DM79" s="22"/>
      <c r="DN79" s="22"/>
      <c r="DQ79"/>
      <c r="DR79" s="34"/>
      <c r="DS79"/>
      <c r="DT79" s="34"/>
      <c r="DW79"/>
      <c r="DX79" s="34"/>
      <c r="DY79"/>
      <c r="DZ79" s="34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</row>
    <row r="80" spans="1:146" ht="12.4" customHeight="1" x14ac:dyDescent="0.2">
      <c r="O80"/>
      <c r="CZ80"/>
      <c r="DF80"/>
      <c r="DH80" s="22"/>
      <c r="DI80" s="22"/>
      <c r="DJ80" s="22"/>
      <c r="DK80" s="22"/>
      <c r="DL80" s="22"/>
      <c r="DM80" s="22"/>
      <c r="DN80" s="22"/>
      <c r="DS80"/>
      <c r="DY80"/>
    </row>
    <row r="86" spans="8:41" ht="12.4" customHeight="1" x14ac:dyDescent="0.2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8:41" ht="12.4" customHeight="1" x14ac:dyDescent="0.2">
      <c r="H87"/>
    </row>
    <row r="88" spans="8:41" ht="12.4" customHeight="1" x14ac:dyDescent="0.2">
      <c r="H88"/>
    </row>
    <row r="92" spans="8:41" ht="12.4" customHeight="1" x14ac:dyDescent="0.2">
      <c r="L92"/>
      <c r="M92"/>
      <c r="N92"/>
      <c r="O92"/>
    </row>
    <row r="93" spans="8:41" ht="12.4" customHeight="1" x14ac:dyDescent="0.2">
      <c r="L93"/>
      <c r="M93"/>
      <c r="N93"/>
      <c r="O93"/>
    </row>
    <row r="94" spans="8:41" ht="12.4" customHeight="1" x14ac:dyDescent="0.2">
      <c r="L94"/>
      <c r="M94"/>
      <c r="N94"/>
      <c r="O94"/>
    </row>
    <row r="95" spans="8:41" ht="12.4" customHeight="1" x14ac:dyDescent="0.2">
      <c r="L95"/>
      <c r="M95"/>
      <c r="N95"/>
      <c r="O95"/>
    </row>
    <row r="96" spans="8:41" ht="12.4" customHeight="1" x14ac:dyDescent="0.2">
      <c r="L96"/>
      <c r="M96"/>
      <c r="N96"/>
      <c r="O96"/>
    </row>
    <row r="97" spans="12:17" ht="12.4" customHeight="1" x14ac:dyDescent="0.2">
      <c r="L97"/>
      <c r="M97"/>
      <c r="N97"/>
      <c r="O97"/>
    </row>
    <row r="98" spans="12:17" ht="12.4" customHeight="1" x14ac:dyDescent="0.2">
      <c r="L98"/>
      <c r="M98"/>
      <c r="N98"/>
      <c r="O98"/>
    </row>
    <row r="99" spans="12:17" ht="12.4" customHeight="1" x14ac:dyDescent="0.2">
      <c r="L99"/>
      <c r="M99"/>
      <c r="N99"/>
      <c r="O99"/>
    </row>
    <row r="100" spans="12:17" ht="12.4" customHeight="1" x14ac:dyDescent="0.2">
      <c r="L100"/>
      <c r="M100"/>
      <c r="N100"/>
      <c r="O100"/>
    </row>
    <row r="101" spans="12:17" ht="12.4" customHeight="1" x14ac:dyDescent="0.2">
      <c r="L101"/>
      <c r="M101"/>
      <c r="N101"/>
      <c r="O101"/>
    </row>
    <row r="102" spans="12:17" ht="12.4" customHeight="1" x14ac:dyDescent="0.2">
      <c r="L102"/>
      <c r="M102"/>
      <c r="N102"/>
      <c r="O102"/>
    </row>
    <row r="103" spans="12:17" ht="12.4" customHeight="1" x14ac:dyDescent="0.2">
      <c r="L103"/>
      <c r="M103"/>
      <c r="N103"/>
      <c r="O103"/>
    </row>
    <row r="104" spans="12:17" ht="12.4" customHeight="1" x14ac:dyDescent="0.2">
      <c r="L104"/>
      <c r="M104"/>
      <c r="N104"/>
      <c r="O104"/>
    </row>
    <row r="105" spans="12:17" ht="12.4" customHeight="1" x14ac:dyDescent="0.2">
      <c r="O105"/>
    </row>
    <row r="106" spans="12:17" ht="12.4" customHeight="1" x14ac:dyDescent="0.2">
      <c r="L106"/>
      <c r="M106"/>
      <c r="N106"/>
      <c r="O106"/>
    </row>
    <row r="109" spans="12:17" ht="12.4" customHeight="1" x14ac:dyDescent="0.2">
      <c r="L109"/>
      <c r="M109"/>
      <c r="N109"/>
      <c r="O109"/>
      <c r="P109"/>
      <c r="Q109"/>
    </row>
    <row r="110" spans="12:17" ht="12.4" customHeight="1" x14ac:dyDescent="0.2">
      <c r="L110"/>
      <c r="M110"/>
      <c r="N110"/>
      <c r="O110"/>
      <c r="P110"/>
      <c r="Q110"/>
    </row>
    <row r="111" spans="12:17" ht="12.4" customHeight="1" x14ac:dyDescent="0.2">
      <c r="L111"/>
      <c r="M111"/>
      <c r="N111"/>
      <c r="O111"/>
      <c r="P111"/>
      <c r="Q111"/>
    </row>
    <row r="112" spans="12:17" ht="12.4" customHeight="1" x14ac:dyDescent="0.2">
      <c r="L112"/>
      <c r="M112"/>
      <c r="N112"/>
      <c r="O112"/>
      <c r="P112"/>
      <c r="Q112"/>
    </row>
    <row r="113" spans="12:17" ht="12.4" customHeight="1" x14ac:dyDescent="0.2">
      <c r="L113"/>
      <c r="M113"/>
      <c r="N113"/>
      <c r="O113"/>
      <c r="P113"/>
      <c r="Q113"/>
    </row>
    <row r="114" spans="12:17" ht="12.4" customHeight="1" x14ac:dyDescent="0.2">
      <c r="L114"/>
      <c r="M114"/>
      <c r="N114"/>
      <c r="O114"/>
      <c r="P114"/>
      <c r="Q114"/>
    </row>
    <row r="115" spans="12:17" ht="12.4" customHeight="1" x14ac:dyDescent="0.2">
      <c r="L115"/>
      <c r="M115"/>
      <c r="N115"/>
      <c r="O115"/>
      <c r="P115"/>
      <c r="Q115"/>
    </row>
    <row r="116" spans="12:17" ht="12.4" customHeight="1" x14ac:dyDescent="0.2">
      <c r="L116"/>
      <c r="M116"/>
      <c r="N116"/>
      <c r="O116"/>
      <c r="P116"/>
      <c r="Q116"/>
    </row>
    <row r="117" spans="12:17" ht="12.4" customHeight="1" x14ac:dyDescent="0.2">
      <c r="L117"/>
      <c r="M117"/>
      <c r="N117"/>
      <c r="O117"/>
      <c r="P117"/>
      <c r="Q117"/>
    </row>
    <row r="118" spans="12:17" ht="12.4" customHeight="1" x14ac:dyDescent="0.2">
      <c r="L118"/>
      <c r="M118"/>
      <c r="N118"/>
      <c r="O118"/>
      <c r="P118"/>
      <c r="Q118"/>
    </row>
    <row r="119" spans="12:17" ht="12.4" customHeight="1" x14ac:dyDescent="0.2">
      <c r="L119"/>
      <c r="M119"/>
      <c r="N119"/>
      <c r="O119"/>
      <c r="P119"/>
      <c r="Q119"/>
    </row>
    <row r="120" spans="12:17" ht="12.4" customHeight="1" x14ac:dyDescent="0.2">
      <c r="L120"/>
      <c r="M120"/>
      <c r="N120"/>
      <c r="O120"/>
      <c r="P120"/>
      <c r="Q120"/>
    </row>
    <row r="121" spans="12:17" ht="12.4" customHeight="1" x14ac:dyDescent="0.2">
      <c r="L121"/>
      <c r="M121"/>
      <c r="N121"/>
      <c r="O121"/>
      <c r="P121"/>
      <c r="Q121"/>
    </row>
    <row r="122" spans="12:17" ht="12.4" customHeight="1" x14ac:dyDescent="0.2">
      <c r="L122"/>
      <c r="M122"/>
      <c r="N122"/>
      <c r="O122"/>
      <c r="P122"/>
      <c r="Q122"/>
    </row>
    <row r="123" spans="12:17" ht="12.4" customHeight="1" x14ac:dyDescent="0.2">
      <c r="L123"/>
      <c r="M123"/>
      <c r="N123"/>
      <c r="O123"/>
      <c r="P123"/>
      <c r="Q123"/>
    </row>
    <row r="124" spans="12:17" ht="12.4" customHeight="1" x14ac:dyDescent="0.2">
      <c r="L124"/>
      <c r="M124"/>
      <c r="N124"/>
      <c r="O124"/>
      <c r="P124"/>
      <c r="Q124"/>
    </row>
  </sheetData>
  <pageMargins left="0.7" right="0.7" top="0.75" bottom="0.75" header="0.3" footer="0.3"/>
  <pageSetup scale="48" fitToWidth="0" orientation="landscape" r:id="rId1"/>
  <headerFooter alignWithMargins="0">
    <oddHeader>&amp;LPnL&amp;RDoc  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A3" sqref="A3"/>
    </sheetView>
  </sheetViews>
  <sheetFormatPr defaultColWidth="9.125" defaultRowHeight="12.4" customHeight="1" x14ac:dyDescent="0.2"/>
  <cols>
    <col min="1" max="1" width="39.5" customWidth="1"/>
    <col min="2" max="2" width="13.625" customWidth="1"/>
    <col min="3" max="3" width="30.75" customWidth="1"/>
    <col min="20" max="20" width="14.75" customWidth="1"/>
    <col min="26" max="26" width="31.125" customWidth="1"/>
  </cols>
  <sheetData>
    <row r="1" spans="1:26" s="75" customFormat="1" ht="18.399999999999999" customHeight="1" x14ac:dyDescent="0.4">
      <c r="A1" s="261" t="s">
        <v>63</v>
      </c>
      <c r="B1" s="271"/>
      <c r="C1" s="272"/>
      <c r="T1"/>
      <c r="Z1"/>
    </row>
    <row r="2" spans="1:26" ht="12.4" customHeight="1" x14ac:dyDescent="0.2">
      <c r="A2" s="14" t="s">
        <v>141</v>
      </c>
      <c r="B2" s="94" t="e">
        <f>total_startup_expenses</f>
        <v>#REF!</v>
      </c>
      <c r="C2" s="29"/>
    </row>
    <row r="3" spans="1:26" ht="12.4" customHeight="1" x14ac:dyDescent="0.2">
      <c r="A3" s="273" t="s">
        <v>109</v>
      </c>
      <c r="B3" s="274" t="e">
        <f>startup_total_assets</f>
        <v>#REF!</v>
      </c>
      <c r="C3" s="29"/>
    </row>
    <row r="4" spans="1:26" ht="12.4" customHeight="1" x14ac:dyDescent="0.2">
      <c r="A4" s="275" t="s">
        <v>203</v>
      </c>
      <c r="B4" s="45" t="e">
        <f>B2+B3</f>
        <v>#REF!</v>
      </c>
      <c r="C4" s="29"/>
    </row>
    <row r="5" spans="1:26" ht="12.4" customHeight="1" x14ac:dyDescent="0.2">
      <c r="A5" s="275"/>
      <c r="B5" s="45"/>
      <c r="C5" s="29"/>
    </row>
    <row r="6" spans="1:26" ht="16.149999999999999" customHeight="1" x14ac:dyDescent="0.2">
      <c r="A6" s="25" t="s">
        <v>117</v>
      </c>
      <c r="B6" s="276"/>
      <c r="C6" s="29"/>
    </row>
    <row r="7" spans="1:26" ht="12.4" customHeight="1" x14ac:dyDescent="0.2">
      <c r="A7" s="53" t="s">
        <v>21</v>
      </c>
      <c r="B7" s="45" t="e">
        <f>IF(PS_Inventory,startup_inventory,0)+startup_other_current_assets+startup_long_term_assets</f>
        <v>#REF!</v>
      </c>
      <c r="C7" s="29"/>
    </row>
    <row r="8" spans="1:26" ht="12.4" customHeight="1" x14ac:dyDescent="0.2">
      <c r="A8" s="53" t="s">
        <v>92</v>
      </c>
      <c r="B8" s="45" t="e">
        <f>startup_cash_required</f>
        <v>#REF!</v>
      </c>
      <c r="C8" s="29"/>
    </row>
    <row r="9" spans="1:26" ht="12.4" customHeight="1" x14ac:dyDescent="0.2">
      <c r="A9" s="53" t="s">
        <v>121</v>
      </c>
      <c r="B9" s="45" t="e">
        <f>B37-B4</f>
        <v>#REF!</v>
      </c>
    </row>
    <row r="10" spans="1:26" ht="12.4" customHeight="1" x14ac:dyDescent="0.2">
      <c r="A10" s="53" t="s">
        <v>207</v>
      </c>
      <c r="B10" s="455" t="e">
        <f>B8+B9</f>
        <v>#REF!</v>
      </c>
    </row>
    <row r="11" spans="1:26" ht="12.4" customHeight="1" x14ac:dyDescent="0.2">
      <c r="A11" s="161" t="s">
        <v>102</v>
      </c>
      <c r="B11" s="438" t="e">
        <f>SUM(B7:B9)</f>
        <v>#REF!</v>
      </c>
      <c r="C11" s="29"/>
    </row>
    <row r="12" spans="1:26" ht="12.4" customHeight="1" x14ac:dyDescent="0.2">
      <c r="A12" s="221"/>
      <c r="B12" s="30"/>
      <c r="C12" s="29"/>
    </row>
    <row r="13" spans="1:26" ht="12.4" customHeight="1" x14ac:dyDescent="0.2">
      <c r="A13" s="277"/>
      <c r="B13" s="30"/>
      <c r="C13" s="29"/>
    </row>
    <row r="14" spans="1:26" ht="16.149999999999999" customHeight="1" x14ac:dyDescent="0.2">
      <c r="A14" s="25" t="s">
        <v>44</v>
      </c>
      <c r="B14" s="276"/>
      <c r="C14" s="29"/>
    </row>
    <row r="15" spans="1:26" ht="12.4" customHeight="1" x14ac:dyDescent="0.2">
      <c r="B15" s="31"/>
      <c r="C15" s="29"/>
    </row>
    <row r="16" spans="1:26" ht="12.4" customHeight="1" x14ac:dyDescent="0.2">
      <c r="A16" s="39" t="s">
        <v>55</v>
      </c>
      <c r="B16" s="278"/>
    </row>
    <row r="17" spans="1:26" ht="12.4" customHeight="1" x14ac:dyDescent="0.2">
      <c r="A17" s="53" t="s">
        <v>193</v>
      </c>
      <c r="B17" s="481">
        <v>0</v>
      </c>
    </row>
    <row r="18" spans="1:26" ht="12.4" customHeight="1" x14ac:dyDescent="0.2">
      <c r="A18" s="53" t="s">
        <v>206</v>
      </c>
      <c r="B18" s="484">
        <v>0</v>
      </c>
    </row>
    <row r="19" spans="1:26" s="38" customFormat="1" ht="12.4" customHeight="1" x14ac:dyDescent="0.2">
      <c r="A19" s="53" t="s">
        <v>197</v>
      </c>
      <c r="B19" s="484">
        <v>0</v>
      </c>
      <c r="C19" s="18" t="s">
        <v>71</v>
      </c>
      <c r="T19"/>
      <c r="Z19"/>
    </row>
    <row r="20" spans="1:26" ht="12.4" customHeight="1" x14ac:dyDescent="0.2">
      <c r="A20" s="53" t="s">
        <v>31</v>
      </c>
      <c r="B20" s="489">
        <v>0</v>
      </c>
    </row>
    <row r="21" spans="1:26" ht="12.4" customHeight="1" x14ac:dyDescent="0.2">
      <c r="A21" s="161" t="s">
        <v>200</v>
      </c>
      <c r="B21" s="100" t="e">
        <f>IF(PS_Accrual,SUM(B17:B20),startup_current_borrowing+startup_long_term_liabilities+startup_other_current_liabilities)</f>
        <v>#REF!</v>
      </c>
    </row>
    <row r="22" spans="1:26" ht="16.149999999999999" customHeight="1" x14ac:dyDescent="0.2">
      <c r="A22" s="279"/>
      <c r="B22" s="45"/>
      <c r="C22" s="29"/>
    </row>
    <row r="23" spans="1:26" ht="12.4" customHeight="1" x14ac:dyDescent="0.2">
      <c r="A23" s="39" t="s">
        <v>67</v>
      </c>
      <c r="B23" s="278"/>
      <c r="C23" s="29"/>
    </row>
    <row r="24" spans="1:26" ht="12.4" customHeight="1" x14ac:dyDescent="0.2">
      <c r="A24" s="221"/>
      <c r="B24" s="280"/>
      <c r="C24" s="29"/>
    </row>
    <row r="25" spans="1:26" ht="12.4" customHeight="1" x14ac:dyDescent="0.2">
      <c r="A25" s="39" t="s">
        <v>137</v>
      </c>
      <c r="B25" s="281"/>
      <c r="C25" s="29"/>
    </row>
    <row r="26" spans="1:26" ht="12.4" customHeight="1" x14ac:dyDescent="0.2">
      <c r="A26" s="550" t="s">
        <v>99</v>
      </c>
      <c r="B26" s="481">
        <v>0</v>
      </c>
      <c r="C26" s="1"/>
    </row>
    <row r="27" spans="1:26" ht="12.4" customHeight="1" x14ac:dyDescent="0.2">
      <c r="A27" s="492" t="s">
        <v>174</v>
      </c>
      <c r="B27" s="484">
        <v>0</v>
      </c>
      <c r="C27" s="20"/>
    </row>
    <row r="28" spans="1:26" ht="12.4" customHeight="1" x14ac:dyDescent="0.2">
      <c r="A28" s="53" t="e">
        <f>IF(B28&lt;0,"Excess Investment","Additional Investment Requirement")</f>
        <v>#REF!</v>
      </c>
      <c r="B28" s="282" t="e">
        <f>MAX(startup_total_requirements-startup_total_liabilities-SUM(B26:B27),0)</f>
        <v>#REF!</v>
      </c>
    </row>
    <row r="29" spans="1:26" ht="12.4" customHeight="1" x14ac:dyDescent="0.2">
      <c r="A29" s="161" t="s">
        <v>192</v>
      </c>
      <c r="B29" s="100" t="e">
        <f>SUM(B26:B28)</f>
        <v>#REF!</v>
      </c>
    </row>
    <row r="30" spans="1:26" ht="12.4" customHeight="1" x14ac:dyDescent="0.2">
      <c r="A30" s="283"/>
      <c r="B30" s="223"/>
      <c r="C30" s="1"/>
    </row>
    <row r="31" spans="1:26" ht="12.4" customHeight="1" x14ac:dyDescent="0.2">
      <c r="A31" s="39" t="s">
        <v>111</v>
      </c>
      <c r="B31" s="282" t="e">
        <f>-total_startup_expenses</f>
        <v>#REF!</v>
      </c>
      <c r="C31" s="1"/>
    </row>
    <row r="32" spans="1:26" ht="12.4" customHeight="1" x14ac:dyDescent="0.2">
      <c r="A32" s="221" t="s">
        <v>154</v>
      </c>
      <c r="B32" s="223" t="e">
        <f>startup_total_investment+B31</f>
        <v>#REF!</v>
      </c>
    </row>
    <row r="33" spans="1:22" ht="12.4" customHeight="1" x14ac:dyDescent="0.2">
      <c r="A33" s="221"/>
      <c r="B33" s="223"/>
      <c r="C33" s="18"/>
    </row>
    <row r="34" spans="1:22" ht="12.4" customHeight="1" x14ac:dyDescent="0.2">
      <c r="A34" s="47"/>
      <c r="B34" s="103"/>
      <c r="C34" s="32"/>
    </row>
    <row r="35" spans="1:22" ht="12.4" customHeight="1" x14ac:dyDescent="0.2">
      <c r="A35" s="161" t="s">
        <v>61</v>
      </c>
      <c r="B35" s="100" t="e">
        <f>startup_total_capital+startup_total_liabilities</f>
        <v>#REF!</v>
      </c>
      <c r="C35" s="32"/>
    </row>
    <row r="36" spans="1:22" ht="16.149999999999999" customHeight="1" x14ac:dyDescent="0.2">
      <c r="A36" s="284"/>
      <c r="B36" s="285"/>
      <c r="C36" s="32"/>
    </row>
    <row r="37" spans="1:22" ht="16.149999999999999" customHeight="1" x14ac:dyDescent="0.2">
      <c r="A37" s="48" t="s">
        <v>110</v>
      </c>
      <c r="B37" s="270" t="e">
        <f>startup_total_liabilities+startup_total_investment</f>
        <v>#REF!</v>
      </c>
      <c r="C37" s="32"/>
    </row>
    <row r="38" spans="1:22" ht="12.4" customHeight="1" x14ac:dyDescent="0.2">
      <c r="U38" s="1"/>
      <c r="V38" s="1"/>
    </row>
  </sheetData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workbookViewId="0">
      <selection activeCell="B46" sqref="B46"/>
    </sheetView>
  </sheetViews>
  <sheetFormatPr defaultColWidth="9.125" defaultRowHeight="12.4" customHeight="1" x14ac:dyDescent="0.2"/>
  <cols>
    <col min="1" max="1" width="32.875" style="1" customWidth="1"/>
    <col min="2" max="4" width="13.625" style="1" customWidth="1"/>
    <col min="5" max="7" width="9.125" style="1" customWidth="1"/>
    <col min="8" max="8" width="12.25" style="1" customWidth="1"/>
    <col min="9" max="23" width="9.125" style="1" customWidth="1"/>
    <col min="24" max="24" width="18.25" style="1" customWidth="1"/>
    <col min="25" max="25" width="16.125" style="1" customWidth="1"/>
    <col min="26" max="26" width="23.375" style="1" customWidth="1"/>
    <col min="27" max="16384" width="9.125" style="1"/>
  </cols>
  <sheetData>
    <row r="1" spans="1:56" s="75" customFormat="1" ht="16.149999999999999" customHeight="1" x14ac:dyDescent="0.2">
      <c r="A1" s="2" t="s">
        <v>126</v>
      </c>
      <c r="B1" s="286"/>
      <c r="C1" s="286"/>
      <c r="D1" s="287"/>
      <c r="H1"/>
      <c r="I1"/>
      <c r="J1"/>
      <c r="K1"/>
      <c r="S1" s="551"/>
      <c r="Y1"/>
      <c r="Z1"/>
    </row>
    <row r="2" spans="1:56" ht="12.4" customHeight="1" thickBot="1" x14ac:dyDescent="0.25">
      <c r="A2" s="288"/>
      <c r="B2" s="13" t="e">
        <f>IF(PS_StartingMonth&gt;1,"FY "&amp;PS_StartingYear-2,PS_StartingYear-3)</f>
        <v>#REF!</v>
      </c>
      <c r="C2" s="13" t="e">
        <f>IF(PS_StartingMonth&gt;1,"FY "&amp;PS_StartingYear-1,PS_StartingYear-2)</f>
        <v>#REF!</v>
      </c>
      <c r="D2" s="11" t="e">
        <f>IF(PS_StartingMonth&gt;1,"FY "&amp;PS_StartingYear,PS_StartingYear-1)</f>
        <v>#REF!</v>
      </c>
      <c r="H2"/>
      <c r="I2"/>
      <c r="J2"/>
      <c r="K2"/>
      <c r="S2" s="496"/>
      <c r="Y2"/>
      <c r="Z2"/>
    </row>
    <row r="3" spans="1:56" ht="12.4" customHeight="1" x14ac:dyDescent="0.2">
      <c r="A3" s="289" t="e">
        <f>IF(PS_Nonprofit=TRUE,"Funding","Sales")</f>
        <v>#REF!</v>
      </c>
      <c r="B3" s="479">
        <v>0</v>
      </c>
      <c r="C3" s="479">
        <v>0</v>
      </c>
      <c r="D3" s="481">
        <v>0</v>
      </c>
      <c r="H3"/>
      <c r="I3"/>
      <c r="J3"/>
      <c r="K3"/>
      <c r="S3" s="496"/>
      <c r="Y3"/>
      <c r="Z3"/>
    </row>
    <row r="4" spans="1:56" ht="12.4" customHeight="1" x14ac:dyDescent="0.2">
      <c r="A4" s="19" t="e">
        <f>IF(PS_Nonprofit=TRUE,"Gross Surplus","Gross Margin")</f>
        <v>#REF!</v>
      </c>
      <c r="B4" s="482">
        <v>0</v>
      </c>
      <c r="C4" s="482">
        <v>0</v>
      </c>
      <c r="D4" s="484">
        <v>0</v>
      </c>
      <c r="H4"/>
      <c r="I4"/>
      <c r="J4"/>
      <c r="K4"/>
      <c r="S4" s="496"/>
      <c r="Y4"/>
      <c r="Z4"/>
    </row>
    <row r="5" spans="1:56" ht="12.4" customHeight="1" x14ac:dyDescent="0.2">
      <c r="A5" s="19" t="e">
        <f>IF(PS_Nonprofit=TRUE,"Gross Surplus %","Gross Margin %")</f>
        <v>#REF!</v>
      </c>
      <c r="B5" s="644">
        <f>IF(B3&lt;&gt;0,B4/B3,0)</f>
        <v>0</v>
      </c>
      <c r="C5" s="644">
        <f>IF(C3&lt;&gt;0,C4/C3,0)</f>
        <v>0</v>
      </c>
      <c r="D5" s="636">
        <f>IF(D3&lt;&gt;0,D4/D3,0)</f>
        <v>0</v>
      </c>
      <c r="H5"/>
      <c r="S5" s="496"/>
      <c r="Y5"/>
      <c r="Z5"/>
    </row>
    <row r="6" spans="1:56" ht="12.4" customHeight="1" x14ac:dyDescent="0.2">
      <c r="A6" s="19" t="s">
        <v>232</v>
      </c>
      <c r="B6" s="482">
        <v>0</v>
      </c>
      <c r="C6" s="482">
        <v>0</v>
      </c>
      <c r="D6" s="484">
        <v>0</v>
      </c>
      <c r="S6" s="496"/>
      <c r="Y6"/>
      <c r="Z6"/>
    </row>
    <row r="7" spans="1:56" s="34" customFormat="1" ht="12.4" customHeight="1" x14ac:dyDescent="0.2">
      <c r="A7" s="53" t="s">
        <v>49</v>
      </c>
      <c r="B7" s="621">
        <f>IF(B45&gt;0,(B15*365)/B45,0)</f>
        <v>0</v>
      </c>
      <c r="C7" s="621">
        <f>IF(C45&gt;0,(((C15+B15)/2)*365)/C45,0)</f>
        <v>0</v>
      </c>
      <c r="D7" s="622">
        <f>IF(D45&gt;0,(((D15+C15)/2)*365)/D45,0)</f>
        <v>0</v>
      </c>
      <c r="S7" s="549"/>
      <c r="Y7"/>
      <c r="Z7"/>
    </row>
    <row r="8" spans="1:56" s="34" customFormat="1" ht="12.4" customHeight="1" x14ac:dyDescent="0.2">
      <c r="A8" s="53" t="s">
        <v>152</v>
      </c>
      <c r="B8" s="626">
        <f>IF(B16&gt;0,((B3-B4)/B16),0)</f>
        <v>0</v>
      </c>
      <c r="C8" s="626">
        <f>IF(C16&gt;0,((C3-C4)/((C16+B16)/2)),0)</f>
        <v>0</v>
      </c>
      <c r="D8" s="627">
        <f>IF(D16&gt;0,((D3-D4)/((D16+C16)/2)),0)</f>
        <v>0</v>
      </c>
      <c r="S8" s="549"/>
      <c r="Y8"/>
      <c r="Z8"/>
      <c r="AD8"/>
      <c r="AE8"/>
      <c r="AF8"/>
      <c r="BB8" s="22"/>
      <c r="BC8" s="22"/>
      <c r="BD8" s="22"/>
    </row>
    <row r="9" spans="1:56" ht="12.4" customHeight="1" thickBot="1" x14ac:dyDescent="0.25">
      <c r="A9" s="46"/>
      <c r="B9" s="552"/>
      <c r="C9" s="552"/>
      <c r="D9" s="553"/>
      <c r="S9" s="496"/>
      <c r="Y9"/>
      <c r="Z9"/>
      <c r="AD9"/>
      <c r="BB9" s="22"/>
      <c r="BC9" s="22"/>
      <c r="BD9" s="22"/>
    </row>
    <row r="10" spans="1:56" s="75" customFormat="1" ht="16.149999999999999" customHeight="1" x14ac:dyDescent="0.2">
      <c r="A10" s="263" t="s">
        <v>224</v>
      </c>
      <c r="B10" s="292"/>
      <c r="C10" s="292"/>
      <c r="D10" s="293"/>
      <c r="F10" s="294"/>
      <c r="S10" s="551"/>
      <c r="Y10"/>
      <c r="Z10"/>
    </row>
    <row r="11" spans="1:56" ht="12.4" customHeight="1" thickBot="1" x14ac:dyDescent="0.25">
      <c r="A11" s="8"/>
      <c r="B11" s="13" t="e">
        <f>IF(PS_StartingMonth&gt;1,"FY "&amp;PS_StartingYear-2,PS_StartingYear-3)</f>
        <v>#REF!</v>
      </c>
      <c r="C11" s="13" t="e">
        <f>IF(PS_StartingMonth&gt;1,"FY "&amp;PS_StartingYear-1,PS_StartingYear-2)</f>
        <v>#REF!</v>
      </c>
      <c r="D11" s="11" t="e">
        <f>IF(PS_StartingMonth&gt;1,"FY "&amp;PS_StartingYear,PS_StartingYear-1)</f>
        <v>#REF!</v>
      </c>
      <c r="E11" s="19"/>
      <c r="F11" s="295"/>
      <c r="S11" s="496"/>
      <c r="Y11"/>
      <c r="Z11"/>
    </row>
    <row r="12" spans="1:56" ht="12.4" customHeight="1" x14ac:dyDescent="0.2">
      <c r="A12" s="221"/>
      <c r="B12" s="296"/>
      <c r="C12" s="296"/>
      <c r="D12" s="297"/>
      <c r="E12" s="20"/>
      <c r="F12" s="295"/>
      <c r="S12" s="496"/>
      <c r="Y12"/>
      <c r="Z12"/>
    </row>
    <row r="13" spans="1:56" ht="12.4" customHeight="1" thickBot="1" x14ac:dyDescent="0.25">
      <c r="A13" s="221" t="s">
        <v>113</v>
      </c>
      <c r="B13" s="296"/>
      <c r="C13" s="296"/>
      <c r="D13" s="297"/>
      <c r="E13" s="20"/>
      <c r="F13" s="295"/>
      <c r="S13" s="496"/>
      <c r="Y13"/>
      <c r="Z13"/>
    </row>
    <row r="14" spans="1:56" ht="12.4" customHeight="1" x14ac:dyDescent="0.2">
      <c r="A14" s="289" t="s">
        <v>17</v>
      </c>
      <c r="B14" s="479">
        <v>0</v>
      </c>
      <c r="C14" s="479">
        <v>0</v>
      </c>
      <c r="D14" s="481">
        <v>0</v>
      </c>
      <c r="F14" s="295"/>
      <c r="S14" s="496"/>
      <c r="Y14"/>
      <c r="Z14"/>
    </row>
    <row r="15" spans="1:56" s="34" customFormat="1" ht="12.4" customHeight="1" x14ac:dyDescent="0.2">
      <c r="A15" s="53" t="s">
        <v>28</v>
      </c>
      <c r="B15" s="482">
        <v>0</v>
      </c>
      <c r="C15" s="482">
        <v>0</v>
      </c>
      <c r="D15" s="484">
        <v>0</v>
      </c>
      <c r="F15" s="298"/>
      <c r="S15" s="549"/>
      <c r="Y15"/>
      <c r="Z15"/>
    </row>
    <row r="16" spans="1:56" s="34" customFormat="1" ht="12.4" customHeight="1" x14ac:dyDescent="0.2">
      <c r="A16" s="53" t="s">
        <v>225</v>
      </c>
      <c r="B16" s="482">
        <v>0</v>
      </c>
      <c r="C16" s="482">
        <v>0</v>
      </c>
      <c r="D16" s="484">
        <v>0</v>
      </c>
      <c r="F16" s="298"/>
      <c r="S16" s="549"/>
      <c r="Y16"/>
      <c r="Z16"/>
    </row>
    <row r="17" spans="1:26" ht="12.4" customHeight="1" thickBot="1" x14ac:dyDescent="0.25">
      <c r="A17" s="299" t="s">
        <v>142</v>
      </c>
      <c r="B17" s="487">
        <v>0</v>
      </c>
      <c r="C17" s="487">
        <v>0</v>
      </c>
      <c r="D17" s="489">
        <v>0</v>
      </c>
      <c r="S17" s="496"/>
      <c r="Y17"/>
      <c r="Z17"/>
    </row>
    <row r="18" spans="1:26" ht="12.4" customHeight="1" x14ac:dyDescent="0.2">
      <c r="A18" s="33" t="s">
        <v>119</v>
      </c>
      <c r="B18" s="99" t="e">
        <f>SUM(B14:B17)-IF(NOT(PS_Inventory),B16,0)-IF(NOT(PS_Receivables),B15,0)</f>
        <v>#REF!</v>
      </c>
      <c r="C18" s="99" t="e">
        <f>SUM(C14:C17)-IF(NOT(PS_Inventory),C16,0)-IF(NOT(PS_Receivables),C15,0)</f>
        <v>#REF!</v>
      </c>
      <c r="D18" s="100" t="e">
        <f>SUM(D14:D17)-IF(NOT(PS_Inventory),D16,0)-IF(NOT(PS_Receivables),D15,0)</f>
        <v>#REF!</v>
      </c>
      <c r="F18" s="295"/>
      <c r="S18" s="496"/>
      <c r="Y18"/>
      <c r="Z18"/>
    </row>
    <row r="19" spans="1:26" ht="12.4" customHeight="1" x14ac:dyDescent="0.2">
      <c r="A19" s="47"/>
      <c r="B19" s="211"/>
      <c r="C19" s="211"/>
      <c r="D19" s="223"/>
      <c r="F19" s="295"/>
      <c r="S19" s="496"/>
      <c r="Y19"/>
      <c r="Z19"/>
    </row>
    <row r="20" spans="1:26" ht="15" customHeight="1" thickBot="1" x14ac:dyDescent="0.25">
      <c r="A20" s="221" t="s">
        <v>68</v>
      </c>
      <c r="B20" s="300"/>
      <c r="C20" s="300"/>
      <c r="D20" s="301"/>
      <c r="F20" s="302"/>
      <c r="S20" s="496"/>
      <c r="Y20"/>
      <c r="Z20"/>
    </row>
    <row r="21" spans="1:26" ht="12.4" customHeight="1" x14ac:dyDescent="0.2">
      <c r="A21" s="289" t="s">
        <v>68</v>
      </c>
      <c r="B21" s="479">
        <v>0</v>
      </c>
      <c r="C21" s="479">
        <v>0</v>
      </c>
      <c r="D21" s="481">
        <v>0</v>
      </c>
      <c r="S21" s="496"/>
      <c r="Y21"/>
      <c r="Z21"/>
    </row>
    <row r="22" spans="1:26" ht="12.4" customHeight="1" thickBot="1" x14ac:dyDescent="0.25">
      <c r="A22" s="299" t="s">
        <v>221</v>
      </c>
      <c r="B22" s="487">
        <v>0</v>
      </c>
      <c r="C22" s="487">
        <v>0</v>
      </c>
      <c r="D22" s="489">
        <v>0</v>
      </c>
      <c r="S22" s="496"/>
      <c r="Y22"/>
      <c r="Z22"/>
    </row>
    <row r="23" spans="1:26" ht="12.4" customHeight="1" x14ac:dyDescent="0.2">
      <c r="A23" s="47" t="s">
        <v>202</v>
      </c>
      <c r="B23" s="211">
        <f>B21-B22</f>
        <v>0</v>
      </c>
      <c r="C23" s="211">
        <f>C21-C22</f>
        <v>0</v>
      </c>
      <c r="D23" s="223">
        <f>D21-D22</f>
        <v>0</v>
      </c>
      <c r="S23" s="496"/>
      <c r="Y23"/>
      <c r="Z23"/>
    </row>
    <row r="24" spans="1:26" ht="12.4" customHeight="1" thickBot="1" x14ac:dyDescent="0.25">
      <c r="A24" s="47"/>
      <c r="B24" s="211"/>
      <c r="C24" s="211"/>
      <c r="D24" s="223"/>
      <c r="S24" s="496"/>
      <c r="Y24"/>
      <c r="Z24"/>
    </row>
    <row r="25" spans="1:26" ht="16.5" customHeight="1" x14ac:dyDescent="0.2">
      <c r="A25" s="48" t="s">
        <v>102</v>
      </c>
      <c r="B25" s="177" t="e">
        <f>B23+B18</f>
        <v>#REF!</v>
      </c>
      <c r="C25" s="177" t="e">
        <f>C23+C18</f>
        <v>#REF!</v>
      </c>
      <c r="D25" s="178" t="e">
        <f>D23+D18</f>
        <v>#REF!</v>
      </c>
      <c r="S25" s="496"/>
      <c r="Y25"/>
      <c r="Z25"/>
    </row>
    <row r="26" spans="1:26" ht="12.4" customHeight="1" x14ac:dyDescent="0.2">
      <c r="A26" s="303"/>
      <c r="B26" s="304"/>
      <c r="C26" s="304"/>
      <c r="D26" s="305"/>
      <c r="S26" s="496"/>
      <c r="Y26"/>
      <c r="Z26"/>
    </row>
    <row r="27" spans="1:26" ht="12.4" customHeight="1" thickBot="1" x14ac:dyDescent="0.25">
      <c r="A27" s="39" t="s">
        <v>238</v>
      </c>
      <c r="B27" s="306"/>
      <c r="C27" s="306"/>
      <c r="D27" s="307"/>
      <c r="S27" s="496"/>
      <c r="Y27"/>
      <c r="Z27"/>
    </row>
    <row r="28" spans="1:26" s="34" customFormat="1" ht="12.4" customHeight="1" x14ac:dyDescent="0.2">
      <c r="A28" s="53" t="s">
        <v>118</v>
      </c>
      <c r="B28" s="479">
        <v>0</v>
      </c>
      <c r="C28" s="479">
        <v>0</v>
      </c>
      <c r="D28" s="481">
        <v>0</v>
      </c>
      <c r="S28" s="549"/>
      <c r="Y28"/>
      <c r="Z28"/>
    </row>
    <row r="29" spans="1:26" ht="12.4" customHeight="1" x14ac:dyDescent="0.2">
      <c r="A29" s="19" t="s">
        <v>193</v>
      </c>
      <c r="B29" s="482">
        <v>0</v>
      </c>
      <c r="C29" s="482">
        <v>0</v>
      </c>
      <c r="D29" s="484">
        <v>0</v>
      </c>
      <c r="S29" s="496"/>
      <c r="Y29"/>
      <c r="Z29"/>
    </row>
    <row r="30" spans="1:26" ht="12.4" customHeight="1" thickBot="1" x14ac:dyDescent="0.25">
      <c r="A30" s="299" t="s">
        <v>191</v>
      </c>
      <c r="B30" s="487">
        <v>0</v>
      </c>
      <c r="C30" s="487">
        <v>0</v>
      </c>
      <c r="D30" s="489">
        <v>0</v>
      </c>
      <c r="S30" s="496"/>
      <c r="Y30"/>
      <c r="Z30"/>
    </row>
    <row r="31" spans="1:26" ht="12.4" customHeight="1" x14ac:dyDescent="0.2">
      <c r="A31" s="221" t="s">
        <v>65</v>
      </c>
      <c r="B31" s="211">
        <f>SUM(B28:B30)</f>
        <v>0</v>
      </c>
      <c r="C31" s="211">
        <f>SUM(C28:C30)</f>
        <v>0</v>
      </c>
      <c r="D31" s="223">
        <f>SUM(D28:D30)</f>
        <v>0</v>
      </c>
      <c r="S31" s="496"/>
      <c r="Y31"/>
      <c r="Z31"/>
    </row>
    <row r="32" spans="1:26" ht="12.4" customHeight="1" x14ac:dyDescent="0.2">
      <c r="A32" s="47"/>
      <c r="B32" s="116"/>
      <c r="C32" s="116"/>
      <c r="D32" s="240"/>
      <c r="S32" s="496"/>
      <c r="Y32"/>
      <c r="Z32"/>
    </row>
    <row r="33" spans="1:29" ht="12.4" customHeight="1" thickBot="1" x14ac:dyDescent="0.25">
      <c r="A33" s="299" t="s">
        <v>206</v>
      </c>
      <c r="B33" s="487">
        <v>0</v>
      </c>
      <c r="C33" s="487">
        <v>0</v>
      </c>
      <c r="D33" s="489">
        <v>0</v>
      </c>
      <c r="S33" s="496"/>
      <c r="Y33"/>
      <c r="Z33"/>
    </row>
    <row r="34" spans="1:29" ht="13.5" customHeight="1" x14ac:dyDescent="0.2">
      <c r="A34" s="221" t="s">
        <v>200</v>
      </c>
      <c r="B34" s="211">
        <f>B31+B33</f>
        <v>0</v>
      </c>
      <c r="C34" s="211">
        <f>C31+C33</f>
        <v>0</v>
      </c>
      <c r="D34" s="223">
        <f>D31+D33</f>
        <v>0</v>
      </c>
      <c r="S34" s="496"/>
      <c r="Y34"/>
      <c r="Z34"/>
    </row>
    <row r="35" spans="1:29" ht="12.4" customHeight="1" x14ac:dyDescent="0.2">
      <c r="A35" s="221"/>
      <c r="B35" s="308"/>
      <c r="C35" s="308"/>
      <c r="D35" s="309"/>
      <c r="S35" s="496"/>
      <c r="Y35"/>
      <c r="Z35"/>
    </row>
    <row r="36" spans="1:29" ht="12.4" customHeight="1" x14ac:dyDescent="0.2">
      <c r="A36" s="19" t="s">
        <v>184</v>
      </c>
      <c r="B36" s="482">
        <v>0</v>
      </c>
      <c r="C36" s="482">
        <v>0</v>
      </c>
      <c r="D36" s="484">
        <v>0</v>
      </c>
      <c r="S36" s="496"/>
      <c r="Y36"/>
      <c r="Z36"/>
    </row>
    <row r="37" spans="1:29" ht="12.4" customHeight="1" x14ac:dyDescent="0.2">
      <c r="A37" s="19" t="s">
        <v>231</v>
      </c>
      <c r="B37" s="211" t="e">
        <f>B25-B31-B33-B36-B38</f>
        <v>#REF!</v>
      </c>
      <c r="C37" s="211" t="e">
        <f>C25-C31-C33-C36-C38</f>
        <v>#REF!</v>
      </c>
      <c r="D37" s="223" t="e">
        <f>D25-D31-D33-D36-D38</f>
        <v>#REF!</v>
      </c>
      <c r="S37" s="496"/>
      <c r="Y37"/>
      <c r="Z37"/>
    </row>
    <row r="38" spans="1:29" ht="12.4" customHeight="1" thickBot="1" x14ac:dyDescent="0.25">
      <c r="A38" s="19" t="s">
        <v>2</v>
      </c>
      <c r="B38" s="487">
        <v>0</v>
      </c>
      <c r="C38" s="487">
        <v>0</v>
      </c>
      <c r="D38" s="489">
        <v>0</v>
      </c>
      <c r="S38" s="496"/>
      <c r="Y38"/>
      <c r="Z38"/>
    </row>
    <row r="39" spans="1:29" ht="12.4" customHeight="1" x14ac:dyDescent="0.2">
      <c r="A39" s="161" t="s">
        <v>154</v>
      </c>
      <c r="B39" s="211" t="e">
        <f>B36+B37+B38</f>
        <v>#REF!</v>
      </c>
      <c r="C39" s="211" t="e">
        <f>C36+C37+C38</f>
        <v>#REF!</v>
      </c>
      <c r="D39" s="223" t="e">
        <f>D36+D37+D38</f>
        <v>#REF!</v>
      </c>
      <c r="S39" s="496"/>
      <c r="Y39"/>
      <c r="Z39"/>
    </row>
    <row r="40" spans="1:29" ht="12.4" customHeight="1" thickBot="1" x14ac:dyDescent="0.25">
      <c r="A40" s="221"/>
      <c r="B40" s="211"/>
      <c r="C40" s="211"/>
      <c r="D40" s="223"/>
      <c r="G40"/>
      <c r="S40" s="496"/>
      <c r="Y40"/>
      <c r="Z40"/>
    </row>
    <row r="41" spans="1:29" ht="15.75" customHeight="1" x14ac:dyDescent="0.2">
      <c r="A41" s="48" t="s">
        <v>61</v>
      </c>
      <c r="B41" s="177" t="e">
        <f>B31+B33+B36+B37+B38</f>
        <v>#REF!</v>
      </c>
      <c r="C41" s="177" t="e">
        <f>C31+C33+C36+C37+C38</f>
        <v>#REF!</v>
      </c>
      <c r="D41" s="178" t="e">
        <f>D31+D33+D36+D37+D38</f>
        <v>#REF!</v>
      </c>
      <c r="G41"/>
      <c r="S41" s="496"/>
      <c r="Y41"/>
      <c r="Z41"/>
    </row>
    <row r="42" spans="1:29" ht="12.4" customHeight="1" x14ac:dyDescent="0.2">
      <c r="A42" s="47"/>
      <c r="B42" s="310"/>
      <c r="C42" s="310"/>
      <c r="D42" s="311"/>
      <c r="S42" s="496"/>
      <c r="Y42"/>
      <c r="Z42"/>
    </row>
    <row r="43" spans="1:29" ht="14.25" customHeight="1" x14ac:dyDescent="0.2">
      <c r="A43" s="312" t="s">
        <v>245</v>
      </c>
      <c r="B43" s="313"/>
      <c r="C43" s="313"/>
      <c r="D43" s="314"/>
      <c r="E43" s="19"/>
      <c r="S43" s="496"/>
      <c r="Y43"/>
      <c r="Z43"/>
    </row>
    <row r="44" spans="1:29" s="34" customFormat="1" ht="12.4" customHeight="1" x14ac:dyDescent="0.2">
      <c r="A44" s="53" t="s">
        <v>12</v>
      </c>
      <c r="B44" s="617">
        <v>0</v>
      </c>
      <c r="C44" s="617">
        <v>0</v>
      </c>
      <c r="D44" s="618">
        <v>0</v>
      </c>
      <c r="S44" s="549"/>
      <c r="Y44"/>
      <c r="Z44"/>
    </row>
    <row r="45" spans="1:29" s="34" customFormat="1" ht="12.4" customHeight="1" x14ac:dyDescent="0.2">
      <c r="A45" s="53" t="e">
        <f>IF(PS_Nonprofit=TRUE,"Funding on Credit","Sales on Credit")</f>
        <v>#REF!</v>
      </c>
      <c r="B45" s="482">
        <v>0</v>
      </c>
      <c r="C45" s="482">
        <v>0</v>
      </c>
      <c r="D45" s="484">
        <v>0</v>
      </c>
      <c r="S45" s="549"/>
      <c r="Y45"/>
      <c r="Z45"/>
    </row>
    <row r="46" spans="1:29" s="34" customFormat="1" ht="12.4" customHeight="1" x14ac:dyDescent="0.2">
      <c r="A46" s="315" t="s">
        <v>241</v>
      </c>
      <c r="B46" s="628">
        <f>IF(B15&lt;&gt;0,B45/B15,0)</f>
        <v>0</v>
      </c>
      <c r="C46" s="628">
        <f>IF(C15&lt;&gt;0,C45/C15,0)</f>
        <v>0</v>
      </c>
      <c r="D46" s="629">
        <f>IF(D15&lt;&gt;0,D45/D15,0)</f>
        <v>0</v>
      </c>
      <c r="S46" s="549"/>
      <c r="Y46"/>
      <c r="Z46"/>
    </row>
    <row r="47" spans="1:29" ht="12.4" customHeight="1" x14ac:dyDescent="0.2">
      <c r="A47"/>
      <c r="Y47"/>
      <c r="Z47"/>
    </row>
    <row r="48" spans="1:29" ht="12.4" customHeight="1" x14ac:dyDescent="0.2">
      <c r="A48"/>
      <c r="X48" s="22"/>
      <c r="AB48" s="22"/>
      <c r="AC48" s="22"/>
    </row>
    <row r="49" spans="1:1" ht="12.4" customHeight="1" x14ac:dyDescent="0.2">
      <c r="A49"/>
    </row>
    <row r="50" spans="1:1" ht="12.4" customHeight="1" x14ac:dyDescent="0.2">
      <c r="A50"/>
    </row>
    <row r="51" spans="1:1" ht="12.4" customHeight="1" x14ac:dyDescent="0.2">
      <c r="A51"/>
    </row>
    <row r="52" spans="1:1" ht="12.4" customHeight="1" x14ac:dyDescent="0.2">
      <c r="A52"/>
    </row>
    <row r="53" spans="1:1" ht="12.4" customHeight="1" x14ac:dyDescent="0.2">
      <c r="A53"/>
    </row>
    <row r="54" spans="1:1" ht="12.4" customHeight="1" x14ac:dyDescent="0.2">
      <c r="A54"/>
    </row>
    <row r="55" spans="1:1" ht="12.4" customHeight="1" x14ac:dyDescent="0.2">
      <c r="A55"/>
    </row>
    <row r="56" spans="1:1" ht="12.4" customHeight="1" x14ac:dyDescent="0.2">
      <c r="A5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2"/>
  <sheetViews>
    <sheetView showGridLines="0" workbookViewId="0">
      <pane xSplit="1" ySplit="2" topLeftCell="T3" activePane="bottomRight" state="frozenSplit"/>
      <selection pane="topRight"/>
      <selection pane="bottomLeft"/>
      <selection pane="bottomRight" activeCell="AA18" sqref="AA18"/>
    </sheetView>
  </sheetViews>
  <sheetFormatPr defaultColWidth="0" defaultRowHeight="12.4" customHeight="1" outlineLevelCol="1" x14ac:dyDescent="0.2"/>
  <cols>
    <col min="1" max="1" width="34" style="1" customWidth="1"/>
    <col min="2" max="2" width="18.875" style="20" customWidth="1"/>
    <col min="3" max="6" width="18.875" style="20" customWidth="1" outlineLevel="1"/>
    <col min="7" max="7" width="18.875" style="20" customWidth="1"/>
    <col min="8" max="19" width="13.625" style="1" customWidth="1" outlineLevel="1"/>
    <col min="20" max="20" width="13.625" style="1" customWidth="1"/>
    <col min="21" max="32" width="13.625" style="1" customWidth="1" outlineLevel="1"/>
    <col min="33" max="34" width="13.625" style="1" customWidth="1"/>
    <col min="35" max="36" width="13.625" style="18" customWidth="1"/>
    <col min="37" max="41" width="13.625" style="18" customWidth="1" outlineLevel="1"/>
    <col min="42" max="42" width="7.25" style="18" customWidth="1"/>
    <col min="43" max="43" width="30.25" style="18" hidden="1" customWidth="1"/>
    <col min="44" max="45" width="30.25" style="1" hidden="1" customWidth="1"/>
    <col min="46" max="16384" width="9" style="1" hidden="1"/>
  </cols>
  <sheetData>
    <row r="1" spans="1:43" s="75" customFormat="1" ht="16.149999999999999" customHeight="1" x14ac:dyDescent="0.2">
      <c r="A1" s="2" t="s">
        <v>59</v>
      </c>
      <c r="B1" s="77"/>
      <c r="C1" s="77"/>
      <c r="D1" s="77"/>
      <c r="E1" s="77"/>
      <c r="F1" s="77"/>
      <c r="G1" s="11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11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117"/>
      <c r="AH1" s="880"/>
      <c r="AI1" s="117"/>
      <c r="AJ1" s="880"/>
      <c r="AK1" s="880"/>
      <c r="AL1" s="880"/>
      <c r="AM1" s="880"/>
      <c r="AN1" s="880"/>
      <c r="AO1" s="880"/>
      <c r="AP1" s="22"/>
      <c r="AQ1"/>
    </row>
    <row r="2" spans="1:43" ht="12.4" customHeight="1" thickBot="1" x14ac:dyDescent="0.25">
      <c r="A2" s="8"/>
      <c r="B2" s="326"/>
      <c r="C2" s="697">
        <f>'Sales and COGS Forecasts'!C2</f>
        <v>41153</v>
      </c>
      <c r="D2" s="697">
        <f>'Sales and COGS Forecasts'!D2</f>
        <v>41183</v>
      </c>
      <c r="E2" s="697">
        <f>'Sales and COGS Forecasts'!E2</f>
        <v>41214</v>
      </c>
      <c r="F2" s="697">
        <f>'Sales and COGS Forecasts'!F2</f>
        <v>41244</v>
      </c>
      <c r="G2" s="471">
        <f>'Sales and COGS Forecasts'!G2</f>
        <v>2012</v>
      </c>
      <c r="H2" s="697">
        <f>'Sales and COGS Forecasts'!H2</f>
        <v>41275</v>
      </c>
      <c r="I2" s="697">
        <f>'Sales and COGS Forecasts'!I2</f>
        <v>41306</v>
      </c>
      <c r="J2" s="697">
        <f>'Sales and COGS Forecasts'!J2</f>
        <v>41334</v>
      </c>
      <c r="K2" s="697">
        <f>'Sales and COGS Forecasts'!K2</f>
        <v>41365</v>
      </c>
      <c r="L2" s="697">
        <f>'Sales and COGS Forecasts'!L2</f>
        <v>41395</v>
      </c>
      <c r="M2" s="697">
        <f>'Sales and COGS Forecasts'!M2</f>
        <v>41426</v>
      </c>
      <c r="N2" s="697">
        <f>'Sales and COGS Forecasts'!N2</f>
        <v>41456</v>
      </c>
      <c r="O2" s="697">
        <f>'Sales and COGS Forecasts'!O2</f>
        <v>41487</v>
      </c>
      <c r="P2" s="697">
        <f>'Sales and COGS Forecasts'!P2</f>
        <v>41518</v>
      </c>
      <c r="Q2" s="697">
        <f>'Sales and COGS Forecasts'!Q2</f>
        <v>41548</v>
      </c>
      <c r="R2" s="697">
        <f>'Sales and COGS Forecasts'!R2</f>
        <v>41579</v>
      </c>
      <c r="S2" s="697">
        <f>'Sales and COGS Forecasts'!S2</f>
        <v>41609</v>
      </c>
      <c r="T2" s="878">
        <f>'Sales and COGS Forecasts'!T2</f>
        <v>2013</v>
      </c>
      <c r="U2" s="697">
        <f>'Sales and COGS Forecasts'!U2</f>
        <v>41640</v>
      </c>
      <c r="V2" s="697">
        <f>'Sales and COGS Forecasts'!V2</f>
        <v>41671</v>
      </c>
      <c r="W2" s="697">
        <f>'Sales and COGS Forecasts'!W2</f>
        <v>41699</v>
      </c>
      <c r="X2" s="697">
        <f>'Sales and COGS Forecasts'!X2</f>
        <v>41730</v>
      </c>
      <c r="Y2" s="697">
        <f>'Sales and COGS Forecasts'!Y2</f>
        <v>41760</v>
      </c>
      <c r="Z2" s="697">
        <f>'Sales and COGS Forecasts'!Z2</f>
        <v>41791</v>
      </c>
      <c r="AA2" s="697">
        <f>'Sales and COGS Forecasts'!AA2</f>
        <v>41821</v>
      </c>
      <c r="AB2" s="697">
        <f>'Sales and COGS Forecasts'!AB2</f>
        <v>41852</v>
      </c>
      <c r="AC2" s="697">
        <f>'Sales and COGS Forecasts'!AC2</f>
        <v>41883</v>
      </c>
      <c r="AD2" s="697">
        <f>'Sales and COGS Forecasts'!AD2</f>
        <v>41913</v>
      </c>
      <c r="AE2" s="697">
        <f>'Sales and COGS Forecasts'!AE2</f>
        <v>41944</v>
      </c>
      <c r="AF2" s="697">
        <f>'Sales and COGS Forecasts'!AF2</f>
        <v>41974</v>
      </c>
      <c r="AG2" s="878">
        <f>'Sales and COGS Forecasts'!AG2</f>
        <v>2014</v>
      </c>
      <c r="AH2" s="881">
        <f>'Sales and COGS Forecasts'!AH2</f>
        <v>2015</v>
      </c>
      <c r="AI2" s="878">
        <f>'Sales and COGS Forecasts'!AI2</f>
        <v>2016</v>
      </c>
      <c r="AJ2" s="881">
        <f>'Sales and COGS Forecasts'!AJ2</f>
        <v>2017</v>
      </c>
      <c r="AK2" s="881">
        <f>'Sales and COGS Forecasts'!AK2</f>
        <v>2018</v>
      </c>
      <c r="AL2" s="881">
        <f>'Sales and COGS Forecasts'!AL2</f>
        <v>2019</v>
      </c>
      <c r="AM2" s="881">
        <f>'Sales and COGS Forecasts'!AM2</f>
        <v>2020</v>
      </c>
      <c r="AN2" s="881">
        <f>'Sales and COGS Forecasts'!AN2</f>
        <v>2021</v>
      </c>
      <c r="AO2" s="881">
        <f>'Sales and COGS Forecasts'!AO2</f>
        <v>2022</v>
      </c>
      <c r="AP2" s="22"/>
      <c r="AQ2"/>
    </row>
    <row r="3" spans="1:43" ht="16.149999999999999" customHeight="1" thickBot="1" x14ac:dyDescent="0.25">
      <c r="A3" s="25" t="s">
        <v>150</v>
      </c>
      <c r="B3" s="341" t="s">
        <v>194</v>
      </c>
      <c r="C3" s="341"/>
      <c r="D3" s="341"/>
      <c r="E3" s="341"/>
      <c r="F3" s="341"/>
      <c r="G3" s="874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3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3"/>
      <c r="AH3" s="882"/>
      <c r="AI3" s="343"/>
      <c r="AJ3" s="882"/>
      <c r="AK3" s="882"/>
      <c r="AL3" s="882"/>
      <c r="AM3" s="882"/>
      <c r="AN3" s="882"/>
      <c r="AO3" s="882"/>
      <c r="AP3" s="22"/>
      <c r="AQ3"/>
    </row>
    <row r="4" spans="1:43" s="34" customFormat="1" ht="16.149999999999999" customHeight="1" x14ac:dyDescent="0.2">
      <c r="A4" s="35"/>
      <c r="B4" s="15"/>
      <c r="C4" s="15"/>
      <c r="D4" s="15"/>
      <c r="E4" s="15"/>
      <c r="F4" s="15"/>
      <c r="G4" s="875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301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301"/>
      <c r="AH4" s="883"/>
      <c r="AI4" s="301"/>
      <c r="AJ4" s="883"/>
      <c r="AK4" s="883"/>
      <c r="AL4" s="883"/>
      <c r="AM4" s="883"/>
      <c r="AN4" s="883"/>
      <c r="AO4" s="883"/>
      <c r="AP4" s="22"/>
      <c r="AQ4"/>
    </row>
    <row r="5" spans="1:43" ht="12.4" customHeight="1" thickBot="1" x14ac:dyDescent="0.25">
      <c r="A5" s="39" t="s">
        <v>113</v>
      </c>
      <c r="B5" s="40"/>
      <c r="C5" s="40"/>
      <c r="D5" s="40"/>
      <c r="E5" s="40"/>
      <c r="F5" s="40"/>
      <c r="G5" s="876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9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9"/>
      <c r="AH5" s="884"/>
      <c r="AI5" s="319"/>
      <c r="AJ5" s="884"/>
      <c r="AK5" s="884"/>
      <c r="AL5" s="884"/>
      <c r="AM5" s="884"/>
      <c r="AN5" s="884"/>
      <c r="AO5" s="884"/>
      <c r="AP5" s="22"/>
      <c r="AQ5"/>
    </row>
    <row r="6" spans="1:43" ht="12.75" x14ac:dyDescent="0.2">
      <c r="A6" s="19" t="s">
        <v>17</v>
      </c>
      <c r="B6" s="345">
        <v>0</v>
      </c>
      <c r="C6" s="102">
        <f>'Cash Flow'!C30</f>
        <v>-1000</v>
      </c>
      <c r="D6" s="102">
        <f>'Cash Flow'!D30</f>
        <v>-1000</v>
      </c>
      <c r="E6" s="102">
        <f>'Cash Flow'!E30</f>
        <v>1846700</v>
      </c>
      <c r="F6" s="102">
        <f>'Cash Flow'!F30</f>
        <v>1846700</v>
      </c>
      <c r="G6" s="103">
        <f>F6</f>
        <v>1846700</v>
      </c>
      <c r="H6" s="102">
        <f>'Cash Flow'!H30</f>
        <v>1830449.5833333333</v>
      </c>
      <c r="I6" s="102">
        <f>'Cash Flow'!I30</f>
        <v>1591488.8333333333</v>
      </c>
      <c r="J6" s="102">
        <f>'Cash Flow'!J30</f>
        <v>1391530.0833333333</v>
      </c>
      <c r="K6" s="102">
        <f>'Cash Flow'!K30</f>
        <v>1215571.3333333333</v>
      </c>
      <c r="L6" s="102">
        <f>'Cash Flow'!L30</f>
        <v>1183612.5833333333</v>
      </c>
      <c r="M6" s="102">
        <f>'Cash Flow'!M30</f>
        <v>1156653.8333333333</v>
      </c>
      <c r="N6" s="102">
        <f>'Cash Flow'!N30</f>
        <v>1101768</v>
      </c>
      <c r="O6" s="102">
        <f>'Cash Flow'!O30</f>
        <v>1048382.1666666666</v>
      </c>
      <c r="P6" s="102">
        <f>'Cash Flow'!P30</f>
        <v>994996.33333333326</v>
      </c>
      <c r="Q6" s="102">
        <f>'Cash Flow'!Q30</f>
        <v>941610.49999999988</v>
      </c>
      <c r="R6" s="102">
        <f>'Cash Flow'!R30</f>
        <v>885522.66666666651</v>
      </c>
      <c r="S6" s="102">
        <f>'Cash Flow'!S30</f>
        <v>824934.83333333314</v>
      </c>
      <c r="T6" s="103">
        <f>S6</f>
        <v>824934.83333333314</v>
      </c>
      <c r="U6" s="102">
        <f>'Cash Flow'!U30</f>
        <v>709286.99999999977</v>
      </c>
      <c r="V6" s="102">
        <f>'Cash Flow'!V30</f>
        <v>463082.33333333314</v>
      </c>
      <c r="W6" s="102">
        <f>'Cash Flow'!W30</f>
        <v>150947.00866977207</v>
      </c>
      <c r="X6" s="102">
        <f>'Cash Flow'!X30</f>
        <v>383808.31961697718</v>
      </c>
      <c r="Y6" s="102">
        <f>'Cash Flow'!Y30</f>
        <v>712826.46286231885</v>
      </c>
      <c r="Z6" s="102">
        <f>'Cash Flow'!Z30</f>
        <v>1128168.1050724639</v>
      </c>
      <c r="AA6" s="102">
        <f>'Cash Flow'!AA30</f>
        <v>1576596.5347826087</v>
      </c>
      <c r="AB6" s="102">
        <f>'Cash Flow'!AB30</f>
        <v>1661210.6228260871</v>
      </c>
      <c r="AC6" s="102">
        <f>'Cash Flow'!AC30</f>
        <v>2070545.4608695654</v>
      </c>
      <c r="AD6" s="102">
        <f>'Cash Flow'!AD30</f>
        <v>2539599.0489130439</v>
      </c>
      <c r="AE6" s="102">
        <f>'Cash Flow'!AE30</f>
        <v>3068371.3869565222</v>
      </c>
      <c r="AF6" s="102">
        <f>'Cash Flow'!AF30</f>
        <v>3649254.5513888896</v>
      </c>
      <c r="AG6" s="103">
        <f>AF6</f>
        <v>3649254.5513888896</v>
      </c>
      <c r="AH6" s="885">
        <f>'Cash Flow'!AH30</f>
        <v>14419323.004166663</v>
      </c>
      <c r="AI6" s="223">
        <f>'Cash Flow'!AI30</f>
        <v>36805531.463858329</v>
      </c>
      <c r="AJ6" s="885">
        <f>'Cash Flow'!AJ30</f>
        <v>76498145.349593401</v>
      </c>
      <c r="AK6" s="885">
        <f>'Cash Flow'!AK30</f>
        <v>139446638.12606469</v>
      </c>
      <c r="AL6" s="885">
        <f>'Cash Flow'!AL30</f>
        <v>224793719.48512781</v>
      </c>
      <c r="AM6" s="885">
        <f>'Cash Flow'!AM30</f>
        <v>327396671.93123466</v>
      </c>
      <c r="AN6" s="885">
        <f>'Cash Flow'!AN30</f>
        <v>445237300.95803142</v>
      </c>
      <c r="AO6" s="885">
        <f>'Cash Flow'!AO30</f>
        <v>577990965.62928295</v>
      </c>
      <c r="AP6" s="22"/>
      <c r="AQ6"/>
    </row>
    <row r="7" spans="1:43" s="346" customFormat="1" ht="12.4" customHeight="1" x14ac:dyDescent="0.2">
      <c r="A7" s="14" t="s">
        <v>28</v>
      </c>
      <c r="B7" s="345">
        <v>0</v>
      </c>
      <c r="C7" s="44">
        <f>Calculations!C175</f>
        <v>0</v>
      </c>
      <c r="D7" s="44">
        <f>Calculations!D175</f>
        <v>0</v>
      </c>
      <c r="E7" s="44">
        <f>Calculations!E175</f>
        <v>0</v>
      </c>
      <c r="F7" s="44">
        <f>Calculations!F175</f>
        <v>0</v>
      </c>
      <c r="G7" s="45">
        <f>F7</f>
        <v>0</v>
      </c>
      <c r="H7" s="44">
        <f>Calculations!H175</f>
        <v>0</v>
      </c>
      <c r="I7" s="44">
        <f>Calculations!I175</f>
        <v>0</v>
      </c>
      <c r="J7" s="44">
        <f>Calculations!J175</f>
        <v>0</v>
      </c>
      <c r="K7" s="44">
        <f>Calculations!K175</f>
        <v>0</v>
      </c>
      <c r="L7" s="44">
        <f>Calculations!L175</f>
        <v>0</v>
      </c>
      <c r="M7" s="44">
        <f>Calculations!M175</f>
        <v>0</v>
      </c>
      <c r="N7" s="44">
        <f>Calculations!N175</f>
        <v>0</v>
      </c>
      <c r="O7" s="44">
        <f>Calculations!O175</f>
        <v>0</v>
      </c>
      <c r="P7" s="44">
        <f>Calculations!P175</f>
        <v>0</v>
      </c>
      <c r="Q7" s="44">
        <f>Calculations!Q175</f>
        <v>0</v>
      </c>
      <c r="R7" s="44">
        <f>Calculations!R175</f>
        <v>0</v>
      </c>
      <c r="S7" s="44">
        <f>Calculations!S175</f>
        <v>0</v>
      </c>
      <c r="T7" s="45">
        <f>S7</f>
        <v>0</v>
      </c>
      <c r="U7" s="44">
        <f>Calculations!U175</f>
        <v>0</v>
      </c>
      <c r="V7" s="44">
        <f>Calculations!V175</f>
        <v>0</v>
      </c>
      <c r="W7" s="44">
        <f>Calculations!W175</f>
        <v>338649.4079968945</v>
      </c>
      <c r="X7" s="44">
        <f>Calculations!X175</f>
        <v>413843.84704968944</v>
      </c>
      <c r="Y7" s="44">
        <f>Calculations!Y175</f>
        <v>480256.45380434778</v>
      </c>
      <c r="Z7" s="44">
        <f>Calculations!Z175</f>
        <v>537887.22826086951</v>
      </c>
      <c r="AA7" s="44">
        <f>Calculations!AA175</f>
        <v>595518.00271739124</v>
      </c>
      <c r="AB7" s="44">
        <f>Calculations!AB175</f>
        <v>653148.77717391297</v>
      </c>
      <c r="AC7" s="44">
        <f>Calculations!AC175</f>
        <v>710779.55163043481</v>
      </c>
      <c r="AD7" s="44">
        <f>Calculations!AD175</f>
        <v>768410.32608695654</v>
      </c>
      <c r="AE7" s="44">
        <f>Calculations!AE175</f>
        <v>826041.10054347827</v>
      </c>
      <c r="AF7" s="44">
        <f>Calculations!AF175</f>
        <v>883671.875</v>
      </c>
      <c r="AG7" s="45">
        <f>AF7</f>
        <v>883671.875</v>
      </c>
      <c r="AH7" s="886">
        <f>Calculations!AH175</f>
        <v>2694448.4374999995</v>
      </c>
      <c r="AI7" s="45">
        <f>Calculations!AI175</f>
        <v>5144492.5362499999</v>
      </c>
      <c r="AJ7" s="886">
        <f>Calculations!AJ175</f>
        <v>8715063.4322562478</v>
      </c>
      <c r="AK7" s="886">
        <f>Calculations!AK175</f>
        <v>13393785.004488878</v>
      </c>
      <c r="AL7" s="886">
        <f>Calculations!AL175</f>
        <v>17554845.387780398</v>
      </c>
      <c r="AM7" s="886">
        <f>Calculations!AM175</f>
        <v>20632630.19436866</v>
      </c>
      <c r="AN7" s="886">
        <f>Calculations!AN175</f>
        <v>23543757.643913981</v>
      </c>
      <c r="AO7" s="886">
        <f>Calculations!AO175</f>
        <v>26438934.961223524</v>
      </c>
      <c r="AP7" s="347"/>
      <c r="AQ7"/>
    </row>
    <row r="8" spans="1:43" s="34" customFormat="1" ht="12.4" customHeight="1" thickBot="1" x14ac:dyDescent="0.25">
      <c r="A8" s="53" t="s">
        <v>225</v>
      </c>
      <c r="B8" s="345">
        <v>0</v>
      </c>
      <c r="C8" s="44">
        <f>Calculations!C183</f>
        <v>0</v>
      </c>
      <c r="D8" s="44">
        <f>Calculations!D183</f>
        <v>0</v>
      </c>
      <c r="E8" s="44">
        <f>Calculations!E183</f>
        <v>0</v>
      </c>
      <c r="F8" s="44">
        <f>Calculations!F183</f>
        <v>0</v>
      </c>
      <c r="G8" s="45">
        <f>F8</f>
        <v>0</v>
      </c>
      <c r="H8" s="44">
        <f>Calculations!H183</f>
        <v>0</v>
      </c>
      <c r="I8" s="44">
        <f>Calculations!I183</f>
        <v>0</v>
      </c>
      <c r="J8" s="44">
        <f>Calculations!J183</f>
        <v>0</v>
      </c>
      <c r="K8" s="44">
        <f>Calculations!K183</f>
        <v>0</v>
      </c>
      <c r="L8" s="44">
        <f>Calculations!L183</f>
        <v>0</v>
      </c>
      <c r="M8" s="44">
        <f>Calculations!M183</f>
        <v>0</v>
      </c>
      <c r="N8" s="44">
        <f>Calculations!N183</f>
        <v>0</v>
      </c>
      <c r="O8" s="44">
        <f>Calculations!O183</f>
        <v>0</v>
      </c>
      <c r="P8" s="44">
        <f>Calculations!P183</f>
        <v>0</v>
      </c>
      <c r="Q8" s="44">
        <f>Calculations!Q183</f>
        <v>0</v>
      </c>
      <c r="R8" s="44">
        <f>Calculations!R183</f>
        <v>0</v>
      </c>
      <c r="S8" s="44">
        <f>Calculations!S183</f>
        <v>0</v>
      </c>
      <c r="T8" s="45">
        <f>S8</f>
        <v>0</v>
      </c>
      <c r="U8" s="44">
        <f>Calculations!U183</f>
        <v>0</v>
      </c>
      <c r="V8" s="44">
        <f>Calculations!V183</f>
        <v>0</v>
      </c>
      <c r="W8" s="44">
        <f>Calculations!W183</f>
        <v>289218.75000000006</v>
      </c>
      <c r="X8" s="44">
        <f>Calculations!X183</f>
        <v>353437.5</v>
      </c>
      <c r="Y8" s="44">
        <f>Calculations!Y183</f>
        <v>410156.25</v>
      </c>
      <c r="Z8" s="44">
        <f>Calculations!Z183</f>
        <v>459375</v>
      </c>
      <c r="AA8" s="44">
        <f>Calculations!AA183</f>
        <v>508593.75</v>
      </c>
      <c r="AB8" s="44">
        <f>Calculations!AB183</f>
        <v>557812.5</v>
      </c>
      <c r="AC8" s="44">
        <f>Calculations!AC183</f>
        <v>607031.25</v>
      </c>
      <c r="AD8" s="44">
        <f>Calculations!AD183</f>
        <v>656250</v>
      </c>
      <c r="AE8" s="44">
        <f>Calculations!AE183</f>
        <v>705468.75</v>
      </c>
      <c r="AF8" s="44">
        <f>Calculations!AF183</f>
        <v>441835.9375</v>
      </c>
      <c r="AG8" s="45">
        <f>AF8</f>
        <v>441835.9375</v>
      </c>
      <c r="AH8" s="886">
        <f>Calculations!AH183</f>
        <v>1347224.2187499998</v>
      </c>
      <c r="AI8" s="45">
        <f>Calculations!AI183</f>
        <v>2572246.2681249999</v>
      </c>
      <c r="AJ8" s="886">
        <f>Calculations!AJ183</f>
        <v>4357531.7161281239</v>
      </c>
      <c r="AK8" s="886">
        <f>Calculations!AK183</f>
        <v>6696892.502244439</v>
      </c>
      <c r="AL8" s="886">
        <f>Calculations!AL183</f>
        <v>8777422.6938901991</v>
      </c>
      <c r="AM8" s="886">
        <f>Calculations!AM183</f>
        <v>10316315.09718433</v>
      </c>
      <c r="AN8" s="886">
        <f>Calculations!AN183</f>
        <v>11771878.82195699</v>
      </c>
      <c r="AO8" s="886">
        <f>Calculations!AO183</f>
        <v>13219467.480611762</v>
      </c>
      <c r="AP8" s="38"/>
      <c r="AQ8"/>
    </row>
    <row r="9" spans="1:43" ht="12.4" customHeight="1" x14ac:dyDescent="0.2">
      <c r="A9" s="33" t="s">
        <v>119</v>
      </c>
      <c r="B9" s="348">
        <f t="shared" ref="B9:AH9" si="0">SUM(B6:B8)</f>
        <v>0</v>
      </c>
      <c r="C9" s="218">
        <f t="shared" si="0"/>
        <v>-1000</v>
      </c>
      <c r="D9" s="218">
        <f t="shared" ref="D9:G9" si="1">SUM(D6:D8)</f>
        <v>-1000</v>
      </c>
      <c r="E9" s="218">
        <f t="shared" si="1"/>
        <v>1846700</v>
      </c>
      <c r="F9" s="218">
        <f t="shared" si="1"/>
        <v>1846700</v>
      </c>
      <c r="G9" s="219">
        <f t="shared" si="1"/>
        <v>1846700</v>
      </c>
      <c r="H9" s="218">
        <f>SUM(H6:H8)</f>
        <v>1830449.5833333333</v>
      </c>
      <c r="I9" s="218">
        <f t="shared" si="0"/>
        <v>1591488.8333333333</v>
      </c>
      <c r="J9" s="218">
        <f t="shared" ref="J9:S9" si="2">SUM(J6:J8)</f>
        <v>1391530.0833333333</v>
      </c>
      <c r="K9" s="218">
        <f t="shared" si="2"/>
        <v>1215571.3333333333</v>
      </c>
      <c r="L9" s="218">
        <f t="shared" si="2"/>
        <v>1183612.5833333333</v>
      </c>
      <c r="M9" s="218">
        <f t="shared" si="2"/>
        <v>1156653.8333333333</v>
      </c>
      <c r="N9" s="218">
        <f t="shared" si="2"/>
        <v>1101768</v>
      </c>
      <c r="O9" s="218">
        <f t="shared" si="2"/>
        <v>1048382.1666666666</v>
      </c>
      <c r="P9" s="218">
        <f t="shared" si="2"/>
        <v>994996.33333333326</v>
      </c>
      <c r="Q9" s="218">
        <f t="shared" si="2"/>
        <v>941610.49999999988</v>
      </c>
      <c r="R9" s="218">
        <f t="shared" si="2"/>
        <v>885522.66666666651</v>
      </c>
      <c r="S9" s="218">
        <f t="shared" si="2"/>
        <v>824934.83333333314</v>
      </c>
      <c r="T9" s="219">
        <f t="shared" si="0"/>
        <v>824934.83333333314</v>
      </c>
      <c r="U9" s="218">
        <f t="shared" si="0"/>
        <v>709286.99999999977</v>
      </c>
      <c r="V9" s="218">
        <f t="shared" ref="V9:AF9" si="3">SUM(V6:V8)</f>
        <v>463082.33333333314</v>
      </c>
      <c r="W9" s="218">
        <f t="shared" si="3"/>
        <v>778815.16666666663</v>
      </c>
      <c r="X9" s="218">
        <f t="shared" si="3"/>
        <v>1151089.6666666665</v>
      </c>
      <c r="Y9" s="218">
        <f t="shared" si="3"/>
        <v>1603239.1666666665</v>
      </c>
      <c r="Z9" s="218">
        <f t="shared" si="3"/>
        <v>2125430.3333333335</v>
      </c>
      <c r="AA9" s="218">
        <f t="shared" si="3"/>
        <v>2680708.2875000001</v>
      </c>
      <c r="AB9" s="218">
        <f t="shared" si="3"/>
        <v>2872171.9</v>
      </c>
      <c r="AC9" s="218">
        <f t="shared" si="3"/>
        <v>3388356.2625000002</v>
      </c>
      <c r="AD9" s="218">
        <f t="shared" si="3"/>
        <v>3964259.3750000005</v>
      </c>
      <c r="AE9" s="218">
        <f t="shared" si="3"/>
        <v>4599881.2375000007</v>
      </c>
      <c r="AF9" s="218">
        <f t="shared" si="3"/>
        <v>4974762.3638888896</v>
      </c>
      <c r="AG9" s="219">
        <f t="shared" si="0"/>
        <v>4974762.3638888896</v>
      </c>
      <c r="AH9" s="887">
        <f t="shared" si="0"/>
        <v>18460995.660416663</v>
      </c>
      <c r="AI9" s="100">
        <f>SUM(AI6:AI8)</f>
        <v>44522270.268233329</v>
      </c>
      <c r="AJ9" s="887">
        <f t="shared" ref="AJ9:AO9" si="4">SUM(AJ6:AJ8)</f>
        <v>89570740.497977778</v>
      </c>
      <c r="AK9" s="887">
        <f t="shared" si="4"/>
        <v>159537315.63279802</v>
      </c>
      <c r="AL9" s="887">
        <f t="shared" si="4"/>
        <v>251125987.56679839</v>
      </c>
      <c r="AM9" s="887">
        <f t="shared" si="4"/>
        <v>358345617.22278762</v>
      </c>
      <c r="AN9" s="887">
        <f t="shared" si="4"/>
        <v>480552937.42390239</v>
      </c>
      <c r="AO9" s="887">
        <f t="shared" si="4"/>
        <v>617649368.07111824</v>
      </c>
      <c r="AP9" s="22"/>
      <c r="AQ9"/>
    </row>
    <row r="10" spans="1:43" ht="12.4" customHeight="1" x14ac:dyDescent="0.2">
      <c r="A10" s="47"/>
      <c r="B10" s="349"/>
      <c r="C10" s="34"/>
      <c r="D10" s="34"/>
      <c r="E10" s="34"/>
      <c r="F10" s="34"/>
      <c r="G10" s="103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  <c r="AH10" s="885"/>
      <c r="AI10" s="103"/>
      <c r="AJ10" s="885"/>
      <c r="AK10" s="885"/>
      <c r="AL10" s="885"/>
      <c r="AM10" s="885"/>
      <c r="AN10" s="885"/>
      <c r="AO10" s="885"/>
      <c r="AP10" s="22"/>
      <c r="AQ10"/>
    </row>
    <row r="11" spans="1:43" ht="12.4" customHeight="1" thickBot="1" x14ac:dyDescent="0.25">
      <c r="A11" s="39" t="s">
        <v>68</v>
      </c>
      <c r="B11" s="350"/>
      <c r="C11" s="40"/>
      <c r="D11" s="40"/>
      <c r="E11" s="40"/>
      <c r="F11" s="40"/>
      <c r="G11" s="319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9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9"/>
      <c r="AH11" s="884"/>
      <c r="AI11" s="319"/>
      <c r="AJ11" s="884"/>
      <c r="AK11" s="884"/>
      <c r="AL11" s="884"/>
      <c r="AM11" s="884"/>
      <c r="AN11" s="884"/>
      <c r="AO11" s="884"/>
      <c r="AP11" s="22"/>
      <c r="AQ11"/>
    </row>
    <row r="12" spans="1:43" ht="12.4" customHeight="1" x14ac:dyDescent="0.2">
      <c r="A12" s="289" t="s">
        <v>68</v>
      </c>
      <c r="B12" s="348">
        <v>0</v>
      </c>
      <c r="C12" s="44">
        <f>B12-'Cash Flow'!C14-'P&amp;L'!C42</f>
        <v>800</v>
      </c>
      <c r="D12" s="44">
        <f>C12-'Cash Flow'!D14-'P&amp;L'!D42</f>
        <v>600</v>
      </c>
      <c r="E12" s="44">
        <f>D12-'Cash Flow'!E14-'P&amp;L'!E42</f>
        <v>400</v>
      </c>
      <c r="F12" s="44">
        <f>E12-'Cash Flow'!F14-'P&amp;L'!F42</f>
        <v>200</v>
      </c>
      <c r="G12" s="103">
        <f>F12</f>
        <v>200</v>
      </c>
      <c r="H12" s="102">
        <f>G12-'Cash Flow'!H14-'P&amp;L'!H42</f>
        <v>1066.6666666666667</v>
      </c>
      <c r="I12" s="102">
        <f>H12-'Cash Flow'!I14-'P&amp;L'!I42</f>
        <v>933.33333333333337</v>
      </c>
      <c r="J12" s="102">
        <f>I12-'Cash Flow'!J14-'P&amp;L'!J42</f>
        <v>800</v>
      </c>
      <c r="K12" s="102">
        <f>J12-'Cash Flow'!K14-'P&amp;L'!K42</f>
        <v>666.66666666666663</v>
      </c>
      <c r="L12" s="102">
        <f>K12-'Cash Flow'!L14-'P&amp;L'!L42</f>
        <v>533.33333333333326</v>
      </c>
      <c r="M12" s="102">
        <f>L12-'Cash Flow'!M14-'P&amp;L'!M42</f>
        <v>399.99999999999989</v>
      </c>
      <c r="N12" s="102">
        <f>M12-'Cash Flow'!N14-'P&amp;L'!N42</f>
        <v>3266.6666666666665</v>
      </c>
      <c r="O12" s="102">
        <f>N12-'Cash Flow'!O14-'P&amp;L'!O42</f>
        <v>3133.333333333333</v>
      </c>
      <c r="P12" s="102">
        <f>O12-'Cash Flow'!P14-'P&amp;L'!P42</f>
        <v>2999.9999999999995</v>
      </c>
      <c r="Q12" s="102">
        <f>P12-'Cash Flow'!Q14-'P&amp;L'!Q42</f>
        <v>2866.6666666666661</v>
      </c>
      <c r="R12" s="102">
        <f>Q12-'Cash Flow'!R14-'P&amp;L'!R42</f>
        <v>2733.3333333333326</v>
      </c>
      <c r="S12" s="102">
        <f>R12-'Cash Flow'!S14-'P&amp;L'!S42</f>
        <v>2599.9999999999991</v>
      </c>
      <c r="T12" s="103">
        <f>S12</f>
        <v>2599.9999999999991</v>
      </c>
      <c r="U12" s="102">
        <f>S12-'Cash Flow'!U14-'P&amp;L'!U42</f>
        <v>4416.6666666666661</v>
      </c>
      <c r="V12" s="102">
        <f>U12-'Cash Flow'!V14-'P&amp;L'!V42</f>
        <v>4233.333333333333</v>
      </c>
      <c r="W12" s="102">
        <f>V12-'Cash Flow'!W14-'P&amp;L'!W42</f>
        <v>4049.9999999999995</v>
      </c>
      <c r="X12" s="102">
        <f>W12-'Cash Flow'!X14-'P&amp;L'!X42</f>
        <v>3866.6666666666661</v>
      </c>
      <c r="Y12" s="102">
        <f>X12-'Cash Flow'!Y14-'P&amp;L'!Y42</f>
        <v>3683.3333333333326</v>
      </c>
      <c r="Z12" s="102">
        <f>Y12-'Cash Flow'!Z14-'P&amp;L'!Z42</f>
        <v>3499.9999999999991</v>
      </c>
      <c r="AA12" s="102">
        <f>Z12-'Cash Flow'!AA14-'P&amp;L'!AA42</f>
        <v>4316.6666666666661</v>
      </c>
      <c r="AB12" s="102">
        <f>AA12-'Cash Flow'!AB14-'P&amp;L'!AB42</f>
        <v>4133.333333333333</v>
      </c>
      <c r="AC12" s="102">
        <f>AB12-'Cash Flow'!AC14-'P&amp;L'!AC42</f>
        <v>3949.9999999999995</v>
      </c>
      <c r="AD12" s="102">
        <f>AC12-'Cash Flow'!AD14-'P&amp;L'!AD42</f>
        <v>3766.6666666666661</v>
      </c>
      <c r="AE12" s="102">
        <f>AD12-'Cash Flow'!AE14-'P&amp;L'!AE42</f>
        <v>3583.3333333333326</v>
      </c>
      <c r="AF12" s="102">
        <f>AE12-'Cash Flow'!AF14-'P&amp;L'!AF42</f>
        <v>3399.9999999999991</v>
      </c>
      <c r="AG12" s="103">
        <f>AF12</f>
        <v>3399.9999999999991</v>
      </c>
      <c r="AH12" s="885">
        <f>AG12-'Cash Flow'!AH14-'P&amp;L'!AH42</f>
        <v>4399.9999999999991</v>
      </c>
      <c r="AI12" s="103">
        <f>AH12-'Cash Flow'!AI14-'P&amp;L'!AI42</f>
        <v>4600</v>
      </c>
      <c r="AJ12" s="885">
        <f>AI12-'Cash Flow'!AJ14-'P&amp;L'!AJ42</f>
        <v>4800</v>
      </c>
      <c r="AK12" s="885">
        <f>AJ12-'Cash Flow'!AK14-'P&amp;L'!AK42</f>
        <v>5000</v>
      </c>
      <c r="AL12" s="885">
        <f>AK12-'Cash Flow'!AL14-'P&amp;L'!AL42</f>
        <v>5000</v>
      </c>
      <c r="AM12" s="885">
        <f>AL12-'Cash Flow'!AM14-'P&amp;L'!AM42</f>
        <v>5000</v>
      </c>
      <c r="AN12" s="885">
        <f>AM12-'Cash Flow'!AN14-'P&amp;L'!AN42</f>
        <v>5000</v>
      </c>
      <c r="AO12" s="885">
        <f>AN12-'Cash Flow'!AO14-'P&amp;L'!AO42</f>
        <v>5000</v>
      </c>
      <c r="AP12" s="22"/>
      <c r="AQ12"/>
    </row>
    <row r="13" spans="1:43" ht="12.4" customHeight="1" thickBot="1" x14ac:dyDescent="0.25">
      <c r="A13" s="46"/>
      <c r="B13" s="751"/>
      <c r="C13" s="860"/>
      <c r="D13" s="860"/>
      <c r="E13" s="860"/>
      <c r="F13" s="860"/>
      <c r="G13" s="160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160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160"/>
      <c r="AH13" s="888"/>
      <c r="AI13" s="160"/>
      <c r="AJ13" s="888"/>
      <c r="AK13" s="888"/>
      <c r="AL13" s="888"/>
      <c r="AM13" s="888"/>
      <c r="AN13" s="888"/>
      <c r="AO13" s="888"/>
      <c r="AP13" s="22"/>
      <c r="AQ13"/>
    </row>
    <row r="14" spans="1:43" ht="12.4" customHeight="1" x14ac:dyDescent="0.2">
      <c r="A14" s="257" t="s">
        <v>102</v>
      </c>
      <c r="B14" s="352">
        <f>B12+B9</f>
        <v>0</v>
      </c>
      <c r="C14" s="320">
        <f>C12+C9</f>
        <v>-200</v>
      </c>
      <c r="D14" s="320">
        <f t="shared" ref="D14:G14" si="5">D12+D9</f>
        <v>-400</v>
      </c>
      <c r="E14" s="320">
        <f t="shared" si="5"/>
        <v>1847100</v>
      </c>
      <c r="F14" s="320">
        <f t="shared" si="5"/>
        <v>1846900</v>
      </c>
      <c r="G14" s="321">
        <f t="shared" si="5"/>
        <v>1846900</v>
      </c>
      <c r="H14" s="320">
        <f>H12+H9</f>
        <v>1831516.25</v>
      </c>
      <c r="I14" s="320">
        <f t="shared" ref="I14:T14" si="6">I12+I9</f>
        <v>1592422.1666666665</v>
      </c>
      <c r="J14" s="320">
        <f t="shared" ref="J14:S14" si="7">J12+J9</f>
        <v>1392330.0833333333</v>
      </c>
      <c r="K14" s="320">
        <f t="shared" si="7"/>
        <v>1216238</v>
      </c>
      <c r="L14" s="320">
        <f t="shared" si="7"/>
        <v>1184145.9166666665</v>
      </c>
      <c r="M14" s="320">
        <f t="shared" si="7"/>
        <v>1157053.8333333333</v>
      </c>
      <c r="N14" s="320">
        <f t="shared" si="7"/>
        <v>1105034.6666666667</v>
      </c>
      <c r="O14" s="320">
        <f t="shared" si="7"/>
        <v>1051515.5</v>
      </c>
      <c r="P14" s="320">
        <f t="shared" si="7"/>
        <v>997996.33333333326</v>
      </c>
      <c r="Q14" s="320">
        <f t="shared" si="7"/>
        <v>944477.16666666651</v>
      </c>
      <c r="R14" s="320">
        <f t="shared" si="7"/>
        <v>888255.99999999988</v>
      </c>
      <c r="S14" s="320">
        <f t="shared" si="7"/>
        <v>827534.83333333314</v>
      </c>
      <c r="T14" s="321">
        <f t="shared" si="6"/>
        <v>827534.83333333314</v>
      </c>
      <c r="U14" s="320">
        <f t="shared" ref="U14:AH14" si="8">U12+U9</f>
        <v>713703.6666666664</v>
      </c>
      <c r="V14" s="320">
        <f t="shared" ref="V14:AF14" si="9">V12+V9</f>
        <v>467315.66666666645</v>
      </c>
      <c r="W14" s="320">
        <f t="shared" si="9"/>
        <v>782865.16666666663</v>
      </c>
      <c r="X14" s="320">
        <f t="shared" si="9"/>
        <v>1154956.3333333333</v>
      </c>
      <c r="Y14" s="320">
        <f t="shared" si="9"/>
        <v>1606922.4999999998</v>
      </c>
      <c r="Z14" s="320">
        <f t="shared" si="9"/>
        <v>2128930.3333333335</v>
      </c>
      <c r="AA14" s="320">
        <f t="shared" si="9"/>
        <v>2685024.9541666666</v>
      </c>
      <c r="AB14" s="320">
        <f t="shared" si="9"/>
        <v>2876305.2333333334</v>
      </c>
      <c r="AC14" s="320">
        <f t="shared" si="9"/>
        <v>3392306.2625000002</v>
      </c>
      <c r="AD14" s="320">
        <f t="shared" si="9"/>
        <v>3968026.041666667</v>
      </c>
      <c r="AE14" s="320">
        <f t="shared" si="9"/>
        <v>4603464.5708333338</v>
      </c>
      <c r="AF14" s="320">
        <f t="shared" si="9"/>
        <v>4978162.3638888896</v>
      </c>
      <c r="AG14" s="321">
        <f t="shared" si="8"/>
        <v>4978162.3638888896</v>
      </c>
      <c r="AH14" s="889">
        <f t="shared" si="8"/>
        <v>18465395.660416663</v>
      </c>
      <c r="AI14" s="321">
        <f>AI12+AI9</f>
        <v>44526870.268233329</v>
      </c>
      <c r="AJ14" s="889">
        <f t="shared" ref="AJ14:AO14" si="10">AJ12+AJ9</f>
        <v>89575540.497977778</v>
      </c>
      <c r="AK14" s="889">
        <f t="shared" si="10"/>
        <v>159542315.63279802</v>
      </c>
      <c r="AL14" s="889">
        <f t="shared" si="10"/>
        <v>251130987.56679839</v>
      </c>
      <c r="AM14" s="889">
        <f t="shared" si="10"/>
        <v>358350617.22278762</v>
      </c>
      <c r="AN14" s="889">
        <f t="shared" si="10"/>
        <v>480557937.42390239</v>
      </c>
      <c r="AO14" s="889">
        <f t="shared" si="10"/>
        <v>617654368.07111824</v>
      </c>
      <c r="AP14" s="22"/>
      <c r="AQ14"/>
    </row>
    <row r="15" spans="1:43" ht="12.4" customHeight="1" x14ac:dyDescent="0.2">
      <c r="A15" s="47"/>
      <c r="B15" s="1"/>
      <c r="C15" s="34"/>
      <c r="D15" s="34"/>
      <c r="E15" s="34"/>
      <c r="F15" s="34"/>
      <c r="G15" s="55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55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55"/>
      <c r="AH15" s="890"/>
      <c r="AI15" s="57"/>
      <c r="AJ15" s="890"/>
      <c r="AK15" s="890"/>
      <c r="AL15" s="890"/>
      <c r="AM15" s="890"/>
      <c r="AN15" s="890"/>
      <c r="AO15" s="890"/>
      <c r="AP15" s="22"/>
      <c r="AQ15"/>
    </row>
    <row r="16" spans="1:43" ht="16.149999999999999" customHeight="1" thickBot="1" x14ac:dyDescent="0.25">
      <c r="A16" s="25" t="s">
        <v>44</v>
      </c>
      <c r="B16" s="85"/>
      <c r="C16" s="85"/>
      <c r="D16" s="85"/>
      <c r="E16" s="85"/>
      <c r="F16" s="85"/>
      <c r="G16" s="86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6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H16" s="891"/>
      <c r="AI16" s="86"/>
      <c r="AJ16" s="891"/>
      <c r="AK16" s="891"/>
      <c r="AL16" s="891"/>
      <c r="AM16" s="891"/>
      <c r="AN16" s="891"/>
      <c r="AO16" s="891"/>
      <c r="AP16" s="22"/>
      <c r="AQ16"/>
    </row>
    <row r="17" spans="1:43" s="34" customFormat="1" ht="16.149999999999999" customHeight="1" x14ac:dyDescent="0.2">
      <c r="A17" s="35"/>
      <c r="B17" s="15"/>
      <c r="C17" s="15"/>
      <c r="D17" s="15"/>
      <c r="E17" s="15"/>
      <c r="F17" s="15"/>
      <c r="G17" s="301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301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301"/>
      <c r="AH17" s="883"/>
      <c r="AI17" s="301"/>
      <c r="AJ17" s="883"/>
      <c r="AK17" s="883"/>
      <c r="AL17" s="883"/>
      <c r="AM17" s="883"/>
      <c r="AN17" s="883"/>
      <c r="AO17" s="883"/>
      <c r="AP17" s="22"/>
      <c r="AQ17"/>
    </row>
    <row r="18" spans="1:43" ht="12.4" customHeight="1" thickBot="1" x14ac:dyDescent="0.25">
      <c r="A18" s="39" t="s">
        <v>238</v>
      </c>
      <c r="B18" s="40"/>
      <c r="C18" s="40"/>
      <c r="D18" s="40"/>
      <c r="E18" s="40"/>
      <c r="F18" s="40"/>
      <c r="G18" s="319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9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9"/>
      <c r="AH18" s="884"/>
      <c r="AI18" s="319"/>
      <c r="AJ18" s="884"/>
      <c r="AK18" s="884"/>
      <c r="AL18" s="884"/>
      <c r="AM18" s="884"/>
      <c r="AN18" s="884"/>
      <c r="AO18" s="884"/>
      <c r="AP18" s="22"/>
      <c r="AQ18"/>
    </row>
    <row r="19" spans="1:43" s="34" customFormat="1" ht="12.4" customHeight="1" x14ac:dyDescent="0.2">
      <c r="A19" s="53" t="s">
        <v>118</v>
      </c>
      <c r="B19" s="353">
        <v>0</v>
      </c>
      <c r="C19" s="44">
        <f>Calculations!C179</f>
        <v>0</v>
      </c>
      <c r="D19" s="44">
        <f>Calculations!D179</f>
        <v>52300</v>
      </c>
      <c r="E19" s="44">
        <f>Calculations!E179</f>
        <v>0</v>
      </c>
      <c r="F19" s="44">
        <f>Calculations!F179</f>
        <v>0</v>
      </c>
      <c r="G19" s="45">
        <f>F19</f>
        <v>0</v>
      </c>
      <c r="H19" s="44">
        <f>Calculations!H179</f>
        <v>222043.66666666666</v>
      </c>
      <c r="I19" s="44">
        <f>Calculations!I179</f>
        <v>183041.66666666666</v>
      </c>
      <c r="J19" s="44">
        <f>Calculations!J179</f>
        <v>159041.66666666666</v>
      </c>
      <c r="K19" s="44">
        <f>Calculations!K179</f>
        <v>15041.666666666666</v>
      </c>
      <c r="L19" s="44">
        <f>Calculations!L179</f>
        <v>10041.666666666668</v>
      </c>
      <c r="M19" s="44">
        <f>Calculations!M179</f>
        <v>10041.666666666668</v>
      </c>
      <c r="N19" s="44">
        <f>Calculations!N179</f>
        <v>11541.666666666666</v>
      </c>
      <c r="O19" s="44">
        <f>Calculations!O179</f>
        <v>11541.666666666666</v>
      </c>
      <c r="P19" s="44">
        <f>Calculations!P179</f>
        <v>11541.666666666666</v>
      </c>
      <c r="Q19" s="44">
        <f>Calculations!Q179</f>
        <v>14243.666666666666</v>
      </c>
      <c r="R19" s="44">
        <f>Calculations!R179</f>
        <v>18743.666666666664</v>
      </c>
      <c r="S19" s="44">
        <f>Calculations!S179</f>
        <v>18743.666666666664</v>
      </c>
      <c r="T19" s="45">
        <f>S19</f>
        <v>18743.666666666664</v>
      </c>
      <c r="U19" s="44">
        <f>Calculations!U179</f>
        <v>151300.5</v>
      </c>
      <c r="V19" s="44">
        <f>Calculations!V179</f>
        <v>167800.50000000003</v>
      </c>
      <c r="W19" s="44">
        <f>Calculations!W179</f>
        <v>239696.33333333337</v>
      </c>
      <c r="X19" s="44">
        <f>Calculations!X179</f>
        <v>273258.83333333331</v>
      </c>
      <c r="Y19" s="44">
        <f>Calculations!Y179</f>
        <v>301654.66666666663</v>
      </c>
      <c r="Z19" s="44">
        <f>Calculations!Z179</f>
        <v>308217.16666666663</v>
      </c>
      <c r="AA19" s="44">
        <f>Calculations!AA179</f>
        <v>581781.66666666674</v>
      </c>
      <c r="AB19" s="44">
        <f>Calculations!AB179</f>
        <v>323342.16666666663</v>
      </c>
      <c r="AC19" s="44">
        <f>Calculations!AC179</f>
        <v>329904.66666666663</v>
      </c>
      <c r="AD19" s="44">
        <f>Calculations!AD179</f>
        <v>336467.16666666663</v>
      </c>
      <c r="AE19" s="44">
        <f>Calculations!AE179</f>
        <v>343029.66666666663</v>
      </c>
      <c r="AF19" s="44">
        <f>Calculations!AF179</f>
        <v>29132.680555555551</v>
      </c>
      <c r="AG19" s="45">
        <f>AF19</f>
        <v>29132.680555555551</v>
      </c>
      <c r="AH19" s="886">
        <f>Calculations!AH179</f>
        <v>953047.88020833337</v>
      </c>
      <c r="AI19" s="45">
        <f>Calculations!AI179</f>
        <v>1743599.3448124998</v>
      </c>
      <c r="AJ19" s="886">
        <f>Calculations!AJ179</f>
        <v>2896068.2275061472</v>
      </c>
      <c r="AK19" s="886">
        <f>Calculations!AK179</f>
        <v>4394235.4298068937</v>
      </c>
      <c r="AL19" s="886">
        <f>Calculations!AL179</f>
        <v>5732494.1780705648</v>
      </c>
      <c r="AM19" s="886">
        <f>Calculations!AM179</f>
        <v>6732727.6370611433</v>
      </c>
      <c r="AN19" s="886">
        <f>Calculations!AN179</f>
        <v>7686103.0197578175</v>
      </c>
      <c r="AO19" s="886">
        <f>Calculations!AO179</f>
        <v>8642570.629495563</v>
      </c>
      <c r="AP19" s="38"/>
      <c r="AQ19"/>
    </row>
    <row r="20" spans="1:43" ht="12.4" customHeight="1" thickBot="1" x14ac:dyDescent="0.25">
      <c r="A20" s="19" t="s">
        <v>193</v>
      </c>
      <c r="B20" s="353">
        <v>0</v>
      </c>
      <c r="C20" s="102">
        <f>B20+'Cash Flow'!C19+'Cash Flow'!C20</f>
        <v>0</v>
      </c>
      <c r="D20" s="102">
        <f>C20+'Cash Flow'!D19+'Cash Flow'!D20</f>
        <v>0</v>
      </c>
      <c r="E20" s="102">
        <f>D20+'Cash Flow'!E19+'Cash Flow'!E20</f>
        <v>0</v>
      </c>
      <c r="F20" s="102">
        <f>E20+'Cash Flow'!F19+'Cash Flow'!F20</f>
        <v>0</v>
      </c>
      <c r="G20" s="103">
        <f>F20</f>
        <v>0</v>
      </c>
      <c r="H20" s="102">
        <f>G20+'Cash Flow'!H19+'Cash Flow'!H20</f>
        <v>0</v>
      </c>
      <c r="I20" s="102">
        <f>H20+'Cash Flow'!I19+'Cash Flow'!I20</f>
        <v>0</v>
      </c>
      <c r="J20" s="102">
        <f>I20+'Cash Flow'!J19+'Cash Flow'!J20</f>
        <v>0</v>
      </c>
      <c r="K20" s="102">
        <f>J20+'Cash Flow'!K19+'Cash Flow'!K20</f>
        <v>0</v>
      </c>
      <c r="L20" s="102">
        <f>K20+'Cash Flow'!L19+'Cash Flow'!L20</f>
        <v>0</v>
      </c>
      <c r="M20" s="102">
        <f>L20+'Cash Flow'!M19+'Cash Flow'!M20</f>
        <v>0</v>
      </c>
      <c r="N20" s="102">
        <f>M20+'Cash Flow'!N19+'Cash Flow'!N20</f>
        <v>0</v>
      </c>
      <c r="O20" s="102">
        <f>N20+'Cash Flow'!O19+'Cash Flow'!O20</f>
        <v>0</v>
      </c>
      <c r="P20" s="102">
        <f>O20+'Cash Flow'!P19+'Cash Flow'!P20</f>
        <v>0</v>
      </c>
      <c r="Q20" s="102">
        <f>P20+'Cash Flow'!Q19+'Cash Flow'!Q20</f>
        <v>0</v>
      </c>
      <c r="R20" s="102">
        <f>Q20+'Cash Flow'!R19+'Cash Flow'!R20</f>
        <v>0</v>
      </c>
      <c r="S20" s="102">
        <f>R20+'Cash Flow'!S19+'Cash Flow'!S20</f>
        <v>0</v>
      </c>
      <c r="T20" s="103">
        <f>S20</f>
        <v>0</v>
      </c>
      <c r="U20" s="102">
        <f>T20+'Cash Flow'!U19+'Cash Flow'!U20</f>
        <v>0</v>
      </c>
      <c r="V20" s="102">
        <f>U20+'Cash Flow'!V19+'Cash Flow'!V20</f>
        <v>0</v>
      </c>
      <c r="W20" s="102">
        <f>V20+'Cash Flow'!W19+'Cash Flow'!W20</f>
        <v>0</v>
      </c>
      <c r="X20" s="102">
        <f>W20+'Cash Flow'!X19+'Cash Flow'!X20</f>
        <v>0</v>
      </c>
      <c r="Y20" s="102">
        <f>X20+'Cash Flow'!Y19+'Cash Flow'!Y20</f>
        <v>0</v>
      </c>
      <c r="Z20" s="102">
        <f>Y20+'Cash Flow'!Z19+'Cash Flow'!Z20</f>
        <v>0</v>
      </c>
      <c r="AA20" s="102">
        <f>Z20+'Cash Flow'!AA19+'Cash Flow'!AA20</f>
        <v>0</v>
      </c>
      <c r="AB20" s="102">
        <f>AA20+'Cash Flow'!AB19+'Cash Flow'!AB20</f>
        <v>0</v>
      </c>
      <c r="AC20" s="102">
        <f>AB20+'Cash Flow'!AC19+'Cash Flow'!AC20</f>
        <v>0</v>
      </c>
      <c r="AD20" s="102">
        <f>AC20+'Cash Flow'!AD19+'Cash Flow'!AD20</f>
        <v>0</v>
      </c>
      <c r="AE20" s="102">
        <f>AD20+'Cash Flow'!AE19+'Cash Flow'!AE20</f>
        <v>0</v>
      </c>
      <c r="AF20" s="102">
        <f>AE20+'Cash Flow'!AF19+'Cash Flow'!AF20</f>
        <v>0</v>
      </c>
      <c r="AG20" s="103">
        <f>AF20+'Cash Flow'!AG19+'Cash Flow'!AG20</f>
        <v>0</v>
      </c>
      <c r="AH20" s="885">
        <f>AG20+'Cash Flow'!AH19+'Cash Flow'!AH20</f>
        <v>0</v>
      </c>
      <c r="AI20" s="103">
        <f>AH20+'Cash Flow'!AI19+'Cash Flow'!AI20</f>
        <v>0</v>
      </c>
      <c r="AJ20" s="885">
        <f>AI20+'Cash Flow'!AJ19+'Cash Flow'!AJ20</f>
        <v>0</v>
      </c>
      <c r="AK20" s="885">
        <f>AJ20+'Cash Flow'!AK19+'Cash Flow'!AK20</f>
        <v>0</v>
      </c>
      <c r="AL20" s="885">
        <f>AK20+'Cash Flow'!AL19+'Cash Flow'!AL20</f>
        <v>0</v>
      </c>
      <c r="AM20" s="885">
        <f>AL20+'Cash Flow'!AM19+'Cash Flow'!AM20</f>
        <v>0</v>
      </c>
      <c r="AN20" s="885">
        <f>AM20+'Cash Flow'!AN19+'Cash Flow'!AN20</f>
        <v>0</v>
      </c>
      <c r="AO20" s="885">
        <f>AN20+'Cash Flow'!AO19+'Cash Flow'!AO20</f>
        <v>0</v>
      </c>
      <c r="AP20" s="22"/>
      <c r="AQ20"/>
    </row>
    <row r="21" spans="1:43" ht="12.4" customHeight="1" x14ac:dyDescent="0.2">
      <c r="A21" s="33" t="s">
        <v>58</v>
      </c>
      <c r="B21" s="354">
        <f>SUM(B19:B20)</f>
        <v>0</v>
      </c>
      <c r="C21" s="218">
        <f>SUM(C19:C20)</f>
        <v>0</v>
      </c>
      <c r="D21" s="218">
        <f t="shared" ref="D21:F21" si="11">SUM(D19:D20)</f>
        <v>52300</v>
      </c>
      <c r="E21" s="218">
        <f t="shared" si="11"/>
        <v>0</v>
      </c>
      <c r="F21" s="218">
        <f t="shared" si="11"/>
        <v>0</v>
      </c>
      <c r="G21" s="219">
        <f>F21</f>
        <v>0</v>
      </c>
      <c r="H21" s="218">
        <f>SUM(H19:H20)</f>
        <v>222043.66666666666</v>
      </c>
      <c r="I21" s="218">
        <f t="shared" ref="I21" si="12">SUM(I19:I20)</f>
        <v>183041.66666666666</v>
      </c>
      <c r="J21" s="218">
        <f t="shared" ref="J21:S21" si="13">SUM(J19:J20)</f>
        <v>159041.66666666666</v>
      </c>
      <c r="K21" s="218">
        <f t="shared" si="13"/>
        <v>15041.666666666666</v>
      </c>
      <c r="L21" s="218">
        <f t="shared" si="13"/>
        <v>10041.666666666668</v>
      </c>
      <c r="M21" s="218">
        <f t="shared" si="13"/>
        <v>10041.666666666668</v>
      </c>
      <c r="N21" s="218">
        <f t="shared" si="13"/>
        <v>11541.666666666666</v>
      </c>
      <c r="O21" s="218">
        <f t="shared" si="13"/>
        <v>11541.666666666666</v>
      </c>
      <c r="P21" s="218">
        <f t="shared" si="13"/>
        <v>11541.666666666666</v>
      </c>
      <c r="Q21" s="218">
        <f t="shared" si="13"/>
        <v>14243.666666666666</v>
      </c>
      <c r="R21" s="218">
        <f t="shared" si="13"/>
        <v>18743.666666666664</v>
      </c>
      <c r="S21" s="218">
        <f t="shared" si="13"/>
        <v>18743.666666666664</v>
      </c>
      <c r="T21" s="219">
        <f>S21</f>
        <v>18743.666666666664</v>
      </c>
      <c r="U21" s="218">
        <f t="shared" ref="U21" si="14">SUM(U19:U20)</f>
        <v>151300.5</v>
      </c>
      <c r="V21" s="218">
        <f t="shared" ref="V21:AF21" si="15">SUM(V19:V20)</f>
        <v>167800.50000000003</v>
      </c>
      <c r="W21" s="218">
        <f t="shared" si="15"/>
        <v>239696.33333333337</v>
      </c>
      <c r="X21" s="218">
        <f t="shared" si="15"/>
        <v>273258.83333333331</v>
      </c>
      <c r="Y21" s="218">
        <f t="shared" si="15"/>
        <v>301654.66666666663</v>
      </c>
      <c r="Z21" s="218">
        <f t="shared" si="15"/>
        <v>308217.16666666663</v>
      </c>
      <c r="AA21" s="218">
        <f t="shared" si="15"/>
        <v>581781.66666666674</v>
      </c>
      <c r="AB21" s="218">
        <f t="shared" si="15"/>
        <v>323342.16666666663</v>
      </c>
      <c r="AC21" s="218">
        <f t="shared" si="15"/>
        <v>329904.66666666663</v>
      </c>
      <c r="AD21" s="218">
        <f t="shared" si="15"/>
        <v>336467.16666666663</v>
      </c>
      <c r="AE21" s="218">
        <f t="shared" si="15"/>
        <v>343029.66666666663</v>
      </c>
      <c r="AF21" s="218">
        <f t="shared" si="15"/>
        <v>29132.680555555551</v>
      </c>
      <c r="AG21" s="219">
        <f>AF21</f>
        <v>29132.680555555551</v>
      </c>
      <c r="AH21" s="887">
        <f t="shared" ref="AH21" si="16">SUM(AH19:AH20)</f>
        <v>953047.88020833337</v>
      </c>
      <c r="AI21" s="219">
        <f>SUM(AI19:AI20)</f>
        <v>1743599.3448124998</v>
      </c>
      <c r="AJ21" s="887">
        <f t="shared" ref="AJ21:AO21" si="17">SUM(AJ19:AJ20)</f>
        <v>2896068.2275061472</v>
      </c>
      <c r="AK21" s="887">
        <f t="shared" si="17"/>
        <v>4394235.4298068937</v>
      </c>
      <c r="AL21" s="887">
        <f t="shared" si="17"/>
        <v>5732494.1780705648</v>
      </c>
      <c r="AM21" s="887">
        <f t="shared" si="17"/>
        <v>6732727.6370611433</v>
      </c>
      <c r="AN21" s="887">
        <f t="shared" si="17"/>
        <v>7686103.0197578175</v>
      </c>
      <c r="AO21" s="887">
        <f t="shared" si="17"/>
        <v>8642570.629495563</v>
      </c>
      <c r="AP21" s="22"/>
      <c r="AQ21"/>
    </row>
    <row r="22" spans="1:43" ht="12.4" customHeight="1" x14ac:dyDescent="0.2">
      <c r="A22" s="47"/>
      <c r="B22" s="349"/>
      <c r="C22" s="34"/>
      <c r="D22" s="34"/>
      <c r="E22" s="34"/>
      <c r="F22" s="34"/>
      <c r="G22" s="55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55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55"/>
      <c r="AH22" s="890"/>
      <c r="AI22" s="57"/>
      <c r="AJ22" s="890"/>
      <c r="AK22" s="890"/>
      <c r="AL22" s="890"/>
      <c r="AM22" s="890"/>
      <c r="AN22" s="890"/>
      <c r="AO22" s="890"/>
      <c r="AP22" s="22"/>
      <c r="AQ22"/>
    </row>
    <row r="23" spans="1:43" ht="12.4" customHeight="1" thickBot="1" x14ac:dyDescent="0.25">
      <c r="A23" s="299" t="s">
        <v>206</v>
      </c>
      <c r="B23" s="355">
        <v>0</v>
      </c>
      <c r="C23" s="351">
        <f>B23+'Cash Flow'!C21+'Cash Flow'!C22</f>
        <v>0</v>
      </c>
      <c r="D23" s="351">
        <f>C23+'Cash Flow'!D21+'Cash Flow'!D22</f>
        <v>0</v>
      </c>
      <c r="E23" s="351">
        <f>D23+'Cash Flow'!E21+'Cash Flow'!E22</f>
        <v>0</v>
      </c>
      <c r="F23" s="351">
        <f>E23+'Cash Flow'!F21+'Cash Flow'!F22</f>
        <v>0</v>
      </c>
      <c r="G23" s="160">
        <f>F23</f>
        <v>0</v>
      </c>
      <c r="H23" s="351">
        <f>G23+'Cash Flow'!H21+'Cash Flow'!H22</f>
        <v>0</v>
      </c>
      <c r="I23" s="351">
        <f>H23+'Cash Flow'!I21+'Cash Flow'!I22</f>
        <v>0</v>
      </c>
      <c r="J23" s="351">
        <f>I23+'Cash Flow'!J21+'Cash Flow'!J22</f>
        <v>0</v>
      </c>
      <c r="K23" s="351">
        <f>J23+'Cash Flow'!K21+'Cash Flow'!K22</f>
        <v>0</v>
      </c>
      <c r="L23" s="351">
        <f>K23+'Cash Flow'!L21+'Cash Flow'!L22</f>
        <v>0</v>
      </c>
      <c r="M23" s="351">
        <f>L23+'Cash Flow'!M21+'Cash Flow'!M22</f>
        <v>0</v>
      </c>
      <c r="N23" s="351">
        <f>M23+'Cash Flow'!N21+'Cash Flow'!N22</f>
        <v>0</v>
      </c>
      <c r="O23" s="351">
        <f>N23+'Cash Flow'!O21+'Cash Flow'!O22</f>
        <v>0</v>
      </c>
      <c r="P23" s="351">
        <f>O23+'Cash Flow'!P21+'Cash Flow'!P22</f>
        <v>0</v>
      </c>
      <c r="Q23" s="351">
        <f>P23+'Cash Flow'!Q21+'Cash Flow'!Q22</f>
        <v>0</v>
      </c>
      <c r="R23" s="351">
        <f>Q23+'Cash Flow'!R21+'Cash Flow'!R22</f>
        <v>0</v>
      </c>
      <c r="S23" s="351">
        <f>R23+'Cash Flow'!S21+'Cash Flow'!S22</f>
        <v>0</v>
      </c>
      <c r="T23" s="160">
        <f>S23</f>
        <v>0</v>
      </c>
      <c r="U23" s="351">
        <f>S23+'Cash Flow'!U21+'Cash Flow'!U22</f>
        <v>0</v>
      </c>
      <c r="V23" s="351">
        <f>T23+'Cash Flow'!V21+'Cash Flow'!V22</f>
        <v>0</v>
      </c>
      <c r="W23" s="351">
        <f>U23+'Cash Flow'!W21+'Cash Flow'!W22</f>
        <v>0</v>
      </c>
      <c r="X23" s="351">
        <f>V23+'Cash Flow'!X21+'Cash Flow'!X22</f>
        <v>0</v>
      </c>
      <c r="Y23" s="351">
        <f>W23+'Cash Flow'!Y21+'Cash Flow'!Y22</f>
        <v>0</v>
      </c>
      <c r="Z23" s="351">
        <f>X23+'Cash Flow'!Z21+'Cash Flow'!Z22</f>
        <v>0</v>
      </c>
      <c r="AA23" s="351">
        <f>Y23+'Cash Flow'!AA21+'Cash Flow'!AA22</f>
        <v>0</v>
      </c>
      <c r="AB23" s="351">
        <f>Z23+'Cash Flow'!AB21+'Cash Flow'!AB22</f>
        <v>0</v>
      </c>
      <c r="AC23" s="351">
        <f>AA23+'Cash Flow'!AC21+'Cash Flow'!AC22</f>
        <v>0</v>
      </c>
      <c r="AD23" s="351">
        <f>AB23+'Cash Flow'!AD21+'Cash Flow'!AD22</f>
        <v>0</v>
      </c>
      <c r="AE23" s="351">
        <f>AC23+'Cash Flow'!AE21+'Cash Flow'!AE22</f>
        <v>0</v>
      </c>
      <c r="AF23" s="351">
        <f>AD23+'Cash Flow'!AF21+'Cash Flow'!AF22</f>
        <v>0</v>
      </c>
      <c r="AG23" s="160">
        <f>AF23</f>
        <v>0</v>
      </c>
      <c r="AH23" s="888">
        <f>AF23+'Cash Flow'!AH21+'Cash Flow'!AH22</f>
        <v>0</v>
      </c>
      <c r="AI23" s="160">
        <f>AH23+'Cash Flow'!AI21+'Cash Flow'!AI22</f>
        <v>0</v>
      </c>
      <c r="AJ23" s="888">
        <f>AH23+'Cash Flow'!AJ21+'Cash Flow'!AJ22</f>
        <v>0</v>
      </c>
      <c r="AK23" s="888">
        <f>AI23+'Cash Flow'!AK21+'Cash Flow'!AK22</f>
        <v>0</v>
      </c>
      <c r="AL23" s="888">
        <f>AJ23+'Cash Flow'!AL21+'Cash Flow'!AL22</f>
        <v>0</v>
      </c>
      <c r="AM23" s="888">
        <f>AK23+'Cash Flow'!AM21+'Cash Flow'!AM22</f>
        <v>0</v>
      </c>
      <c r="AN23" s="888">
        <f>AL23+'Cash Flow'!AN21+'Cash Flow'!AN22</f>
        <v>0</v>
      </c>
      <c r="AO23" s="888">
        <f>AM23+'Cash Flow'!AO21+'Cash Flow'!AO22</f>
        <v>0</v>
      </c>
      <c r="AP23" s="22"/>
      <c r="AQ23"/>
    </row>
    <row r="24" spans="1:43" ht="12.4" customHeight="1" x14ac:dyDescent="0.2">
      <c r="A24" s="257" t="s">
        <v>200</v>
      </c>
      <c r="B24" s="352">
        <f t="shared" ref="B24:I24" si="18">B21+B23</f>
        <v>0</v>
      </c>
      <c r="C24" s="320">
        <f>C21+C23</f>
        <v>0</v>
      </c>
      <c r="D24" s="320">
        <f t="shared" ref="D24:F24" si="19">D21+D23</f>
        <v>52300</v>
      </c>
      <c r="E24" s="320">
        <f t="shared" si="19"/>
        <v>0</v>
      </c>
      <c r="F24" s="320">
        <f t="shared" si="19"/>
        <v>0</v>
      </c>
      <c r="G24" s="321">
        <f>G23+G21</f>
        <v>0</v>
      </c>
      <c r="H24" s="320">
        <f>H21+H23</f>
        <v>222043.66666666666</v>
      </c>
      <c r="I24" s="320">
        <f t="shared" si="18"/>
        <v>183041.66666666666</v>
      </c>
      <c r="J24" s="320">
        <f t="shared" ref="J24:S24" si="20">J21+J23</f>
        <v>159041.66666666666</v>
      </c>
      <c r="K24" s="320">
        <f t="shared" si="20"/>
        <v>15041.666666666666</v>
      </c>
      <c r="L24" s="320">
        <f t="shared" si="20"/>
        <v>10041.666666666668</v>
      </c>
      <c r="M24" s="320">
        <f t="shared" si="20"/>
        <v>10041.666666666668</v>
      </c>
      <c r="N24" s="320">
        <f t="shared" si="20"/>
        <v>11541.666666666666</v>
      </c>
      <c r="O24" s="320">
        <f t="shared" si="20"/>
        <v>11541.666666666666</v>
      </c>
      <c r="P24" s="320">
        <f t="shared" si="20"/>
        <v>11541.666666666666</v>
      </c>
      <c r="Q24" s="320">
        <f t="shared" si="20"/>
        <v>14243.666666666666</v>
      </c>
      <c r="R24" s="320">
        <f t="shared" si="20"/>
        <v>18743.666666666664</v>
      </c>
      <c r="S24" s="320">
        <f t="shared" si="20"/>
        <v>18743.666666666664</v>
      </c>
      <c r="T24" s="321">
        <f>T23+T21</f>
        <v>18743.666666666664</v>
      </c>
      <c r="U24" s="320">
        <f t="shared" ref="U24" si="21">U21+U23</f>
        <v>151300.5</v>
      </c>
      <c r="V24" s="320">
        <f t="shared" ref="V24:AF24" si="22">V21+V23</f>
        <v>167800.50000000003</v>
      </c>
      <c r="W24" s="320">
        <f t="shared" si="22"/>
        <v>239696.33333333337</v>
      </c>
      <c r="X24" s="320">
        <f t="shared" si="22"/>
        <v>273258.83333333331</v>
      </c>
      <c r="Y24" s="320">
        <f t="shared" si="22"/>
        <v>301654.66666666663</v>
      </c>
      <c r="Z24" s="320">
        <f t="shared" si="22"/>
        <v>308217.16666666663</v>
      </c>
      <c r="AA24" s="320">
        <f t="shared" si="22"/>
        <v>581781.66666666674</v>
      </c>
      <c r="AB24" s="320">
        <f t="shared" si="22"/>
        <v>323342.16666666663</v>
      </c>
      <c r="AC24" s="320">
        <f t="shared" si="22"/>
        <v>329904.66666666663</v>
      </c>
      <c r="AD24" s="320">
        <f t="shared" si="22"/>
        <v>336467.16666666663</v>
      </c>
      <c r="AE24" s="320">
        <f t="shared" si="22"/>
        <v>343029.66666666663</v>
      </c>
      <c r="AF24" s="320">
        <f t="shared" si="22"/>
        <v>29132.680555555551</v>
      </c>
      <c r="AG24" s="321">
        <f>AG23+AG21</f>
        <v>29132.680555555551</v>
      </c>
      <c r="AH24" s="889">
        <f t="shared" ref="AH24" si="23">AH21+AH23</f>
        <v>953047.88020833337</v>
      </c>
      <c r="AI24" s="321">
        <f t="shared" ref="AI24:AO24" si="24">AI21+AI23</f>
        <v>1743599.3448124998</v>
      </c>
      <c r="AJ24" s="889">
        <f t="shared" si="24"/>
        <v>2896068.2275061472</v>
      </c>
      <c r="AK24" s="889">
        <f t="shared" si="24"/>
        <v>4394235.4298068937</v>
      </c>
      <c r="AL24" s="889">
        <f t="shared" si="24"/>
        <v>5732494.1780705648</v>
      </c>
      <c r="AM24" s="889">
        <f t="shared" si="24"/>
        <v>6732727.6370611433</v>
      </c>
      <c r="AN24" s="889">
        <f t="shared" si="24"/>
        <v>7686103.0197578175</v>
      </c>
      <c r="AO24" s="889">
        <f t="shared" si="24"/>
        <v>8642570.629495563</v>
      </c>
      <c r="AP24" s="22"/>
      <c r="AQ24"/>
    </row>
    <row r="25" spans="1:43" ht="12.4" customHeight="1" x14ac:dyDescent="0.2">
      <c r="A25" s="47"/>
      <c r="B25" s="349"/>
      <c r="C25" s="34"/>
      <c r="D25" s="34"/>
      <c r="E25" s="34"/>
      <c r="F25" s="34"/>
      <c r="G25" s="55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55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55"/>
      <c r="AH25" s="890"/>
      <c r="AI25" s="57"/>
      <c r="AJ25" s="890"/>
      <c r="AK25" s="890"/>
      <c r="AL25" s="890"/>
      <c r="AM25" s="890"/>
      <c r="AN25" s="890"/>
      <c r="AO25" s="890"/>
      <c r="AP25" s="22"/>
      <c r="AQ25"/>
    </row>
    <row r="26" spans="1:43" ht="12.4" customHeight="1" x14ac:dyDescent="0.2">
      <c r="A26" s="19" t="s">
        <v>184</v>
      </c>
      <c r="B26" s="353">
        <v>0</v>
      </c>
      <c r="C26" s="102">
        <f>B26+'Cash Flow'!C23</f>
        <v>0</v>
      </c>
      <c r="D26" s="102">
        <f>C26+'Cash Flow'!D23</f>
        <v>0</v>
      </c>
      <c r="E26" s="102">
        <f>D26+'Cash Flow'!E23</f>
        <v>1900000</v>
      </c>
      <c r="F26" s="102">
        <f>E26+'Cash Flow'!F23</f>
        <v>1900000</v>
      </c>
      <c r="G26" s="103">
        <f>F26</f>
        <v>1900000</v>
      </c>
      <c r="H26" s="102">
        <f>G26+'Cash Flow'!H23</f>
        <v>1900000</v>
      </c>
      <c r="I26" s="102">
        <f>H26+'Cash Flow'!I23</f>
        <v>1900000</v>
      </c>
      <c r="J26" s="102">
        <f>I26+'Cash Flow'!J23</f>
        <v>1900000</v>
      </c>
      <c r="K26" s="102">
        <f>J26+'Cash Flow'!K23</f>
        <v>1900000</v>
      </c>
      <c r="L26" s="102">
        <f>K26+'Cash Flow'!L23</f>
        <v>1900000</v>
      </c>
      <c r="M26" s="102">
        <f>L26+'Cash Flow'!M23</f>
        <v>1900000</v>
      </c>
      <c r="N26" s="102">
        <f>M26+'Cash Flow'!N23</f>
        <v>1900000</v>
      </c>
      <c r="O26" s="102">
        <f>N26+'Cash Flow'!O23</f>
        <v>1900000</v>
      </c>
      <c r="P26" s="102">
        <f>O26+'Cash Flow'!P23</f>
        <v>1900000</v>
      </c>
      <c r="Q26" s="102">
        <f>P26+'Cash Flow'!Q23</f>
        <v>1900000</v>
      </c>
      <c r="R26" s="102">
        <f>Q26+'Cash Flow'!R23</f>
        <v>1900000</v>
      </c>
      <c r="S26" s="102">
        <f>R26+'Cash Flow'!S23</f>
        <v>1900000</v>
      </c>
      <c r="T26" s="103">
        <f>S26</f>
        <v>1900000</v>
      </c>
      <c r="U26" s="102">
        <f>S26+'Cash Flow'!U23</f>
        <v>1900000</v>
      </c>
      <c r="V26" s="102">
        <f>U26+'Cash Flow'!V23</f>
        <v>1900000</v>
      </c>
      <c r="W26" s="102">
        <f>U26+'Cash Flow'!W23</f>
        <v>1900000</v>
      </c>
      <c r="X26" s="102">
        <f>V26+'Cash Flow'!X23</f>
        <v>1900000</v>
      </c>
      <c r="Y26" s="102">
        <f>W26+'Cash Flow'!Y23</f>
        <v>1900000</v>
      </c>
      <c r="Z26" s="102">
        <f>X26+'Cash Flow'!Z23</f>
        <v>1900000</v>
      </c>
      <c r="AA26" s="102">
        <f>Y26+'Cash Flow'!AA23</f>
        <v>1900000</v>
      </c>
      <c r="AB26" s="102">
        <f>Z26+'Cash Flow'!AB23</f>
        <v>1900000</v>
      </c>
      <c r="AC26" s="102">
        <f>AA26+'Cash Flow'!AC23</f>
        <v>1900000</v>
      </c>
      <c r="AD26" s="102">
        <f>AB26+'Cash Flow'!AD23</f>
        <v>1900000</v>
      </c>
      <c r="AE26" s="102">
        <f>AC26+'Cash Flow'!AE23</f>
        <v>1900000</v>
      </c>
      <c r="AF26" s="102">
        <f>AD26+'Cash Flow'!AF23</f>
        <v>1900000</v>
      </c>
      <c r="AG26" s="103">
        <f>AF26</f>
        <v>1900000</v>
      </c>
      <c r="AH26" s="885">
        <f>AF26+'Cash Flow'!AH23</f>
        <v>1900000</v>
      </c>
      <c r="AI26" s="103">
        <f>AH26+'Cash Flow'!AI23</f>
        <v>1900000</v>
      </c>
      <c r="AJ26" s="885">
        <f>AH26+'Cash Flow'!AJ23</f>
        <v>1900000</v>
      </c>
      <c r="AK26" s="885">
        <f>AI26+'Cash Flow'!AK23</f>
        <v>1900000</v>
      </c>
      <c r="AL26" s="885">
        <f>AJ26+'Cash Flow'!AL23</f>
        <v>1900000</v>
      </c>
      <c r="AM26" s="885">
        <f>AK26+'Cash Flow'!AM23</f>
        <v>1900000</v>
      </c>
      <c r="AN26" s="885">
        <f>AL26+'Cash Flow'!AN23</f>
        <v>1900000</v>
      </c>
      <c r="AO26" s="885">
        <f>AM26+'Cash Flow'!AO23</f>
        <v>1900000</v>
      </c>
      <c r="AP26" s="22"/>
      <c r="AQ26"/>
    </row>
    <row r="27" spans="1:43" ht="12.4" customHeight="1" thickBot="1" x14ac:dyDescent="0.25">
      <c r="A27" s="19" t="s">
        <v>231</v>
      </c>
      <c r="B27" s="345">
        <v>0</v>
      </c>
      <c r="C27" s="93">
        <f>B27+'P&amp;L'!C49+'Cash Flow'!C24</f>
        <v>-200</v>
      </c>
      <c r="D27" s="93">
        <f>C27+'P&amp;L'!D49+'Cash Flow'!D24</f>
        <v>-52700</v>
      </c>
      <c r="E27" s="93">
        <f>D27+'P&amp;L'!E49+'Cash Flow'!E24</f>
        <v>-52900</v>
      </c>
      <c r="F27" s="93">
        <f>E27+'P&amp;L'!F49+'Cash Flow'!F24</f>
        <v>-53100</v>
      </c>
      <c r="G27" s="103">
        <f>F27</f>
        <v>-53100</v>
      </c>
      <c r="H27" s="93">
        <f>G27+'P&amp;L'!H49+'Cash Flow'!H24</f>
        <v>-290527.41666666663</v>
      </c>
      <c r="I27" s="93">
        <f>H27+'P&amp;L'!I49+'Cash Flow'!I24</f>
        <v>-490619.5</v>
      </c>
      <c r="J27" s="93">
        <f>I27+'P&amp;L'!J49+'Cash Flow'!J24</f>
        <v>-666711.58333333337</v>
      </c>
      <c r="K27" s="93">
        <f>J27+'P&amp;L'!K49+'Cash Flow'!K24</f>
        <v>-698803.66666666674</v>
      </c>
      <c r="L27" s="93">
        <f>K27+'P&amp;L'!L49+'Cash Flow'!L24</f>
        <v>-725895.75000000012</v>
      </c>
      <c r="M27" s="93">
        <f>L27+'P&amp;L'!M49+'Cash Flow'!M24</f>
        <v>-752987.83333333349</v>
      </c>
      <c r="N27" s="93">
        <f>M27+'P&amp;L'!N49+'Cash Flow'!N24</f>
        <v>-806507.00000000012</v>
      </c>
      <c r="O27" s="93">
        <f>N27+'P&amp;L'!O49+'Cash Flow'!O24</f>
        <v>-860026.16666666674</v>
      </c>
      <c r="P27" s="93">
        <f>O27+'P&amp;L'!P49+'Cash Flow'!P24</f>
        <v>-913545.33333333337</v>
      </c>
      <c r="Q27" s="93">
        <f>P27+'P&amp;L'!Q49+'Cash Flow'!Q24</f>
        <v>-969766.5</v>
      </c>
      <c r="R27" s="93">
        <f>Q27+'P&amp;L'!R49+'Cash Flow'!R24</f>
        <v>-1030487.6666666666</v>
      </c>
      <c r="S27" s="93">
        <f>R27+'P&amp;L'!S49+'Cash Flow'!S24</f>
        <v>-1091208.8333333333</v>
      </c>
      <c r="T27" s="103">
        <f>S27</f>
        <v>-1091208.8333333333</v>
      </c>
      <c r="U27" s="93">
        <f>T27+'P&amp;L'!U49+'Cash Flow'!U24</f>
        <v>-1337596.8333333333</v>
      </c>
      <c r="V27" s="93">
        <f>U27+'P&amp;L'!V49+'Cash Flow'!V24</f>
        <v>-1600484.8333333333</v>
      </c>
      <c r="W27" s="93">
        <f>V27+'P&amp;L'!W49+'Cash Flow'!W24</f>
        <v>-1356831.1666666665</v>
      </c>
      <c r="X27" s="93">
        <f>W27+'P&amp;L'!X49+'Cash Flow'!X24</f>
        <v>-1018302.4999999998</v>
      </c>
      <c r="Y27" s="93">
        <f>X27+'P&amp;L'!Y49+'Cash Flow'!Y24</f>
        <v>-594732.1666666664</v>
      </c>
      <c r="Z27" s="93">
        <f>Y27+'P&amp;L'!Z49+'Cash Flow'!Z24</f>
        <v>-79286.833333333023</v>
      </c>
      <c r="AA27" s="93">
        <f>Z27+'P&amp;L'!AA49+'Cash Flow'!AA24</f>
        <v>203243.28750000021</v>
      </c>
      <c r="AB27" s="93">
        <f>AA27+'P&amp;L'!AB49+'Cash Flow'!AB24</f>
        <v>652963.06666666688</v>
      </c>
      <c r="AC27" s="93">
        <f>AB27+'P&amp;L'!AC49+'Cash Flow'!AC24</f>
        <v>1162401.5958333337</v>
      </c>
      <c r="AD27" s="93">
        <f>AC27+'P&amp;L'!AD49+'Cash Flow'!AD24</f>
        <v>1731558.8750000005</v>
      </c>
      <c r="AE27" s="93">
        <f>AD27+'P&amp;L'!AE49+'Cash Flow'!AE24</f>
        <v>2360434.9041666673</v>
      </c>
      <c r="AF27" s="93">
        <f>AE27+'P&amp;L'!AF49+'Cash Flow'!AF24</f>
        <v>3049029.683333334</v>
      </c>
      <c r="AG27" s="103">
        <f>AF27</f>
        <v>3049029.683333334</v>
      </c>
      <c r="AH27" s="892">
        <f>AG27+'P&amp;L'!AH49+'Cash Flow'!AH24</f>
        <v>15612347.780208331</v>
      </c>
      <c r="AI27" s="94">
        <f>AH27+'P&amp;L'!AI49+'Cash Flow'!AI24</f>
        <v>40883270.923420832</v>
      </c>
      <c r="AJ27" s="892">
        <f>AI27+'P&amp;L'!AJ49+'Cash Flow'!AJ24</f>
        <v>84779472.270471618</v>
      </c>
      <c r="AK27" s="892">
        <f>AJ27+'P&amp;L'!AK49+'Cash Flow'!AK24</f>
        <v>153248080.20299113</v>
      </c>
      <c r="AL27" s="892">
        <f>AK27+'P&amp;L'!AL49+'Cash Flow'!AL24</f>
        <v>243498493.38872784</v>
      </c>
      <c r="AM27" s="892">
        <f>AL27+'P&amp;L'!AM49+'Cash Flow'!AM24</f>
        <v>349717889.5857265</v>
      </c>
      <c r="AN27" s="892">
        <f>AM27+'P&amp;L'!AN49+'Cash Flow'!AN24</f>
        <v>470971834.40414459</v>
      </c>
      <c r="AO27" s="892">
        <f>AN27+'P&amp;L'!AO49+'Cash Flow'!AO24</f>
        <v>607111797.44162273</v>
      </c>
      <c r="AP27" s="22"/>
      <c r="AQ27"/>
    </row>
    <row r="28" spans="1:43" ht="12.4" customHeight="1" x14ac:dyDescent="0.2">
      <c r="A28" s="356" t="s">
        <v>154</v>
      </c>
      <c r="B28" s="357">
        <f t="shared" ref="B28:AH28" si="25">SUM(B26:B27)</f>
        <v>0</v>
      </c>
      <c r="C28" s="106">
        <f t="shared" ref="C28:G28" si="26">SUM(C26:C27)</f>
        <v>-200</v>
      </c>
      <c r="D28" s="106">
        <f t="shared" si="26"/>
        <v>-52700</v>
      </c>
      <c r="E28" s="106">
        <f t="shared" si="26"/>
        <v>1847100</v>
      </c>
      <c r="F28" s="106">
        <f t="shared" si="26"/>
        <v>1846900</v>
      </c>
      <c r="G28" s="107">
        <f t="shared" si="26"/>
        <v>1846900</v>
      </c>
      <c r="H28" s="106">
        <f t="shared" si="25"/>
        <v>1609472.5833333335</v>
      </c>
      <c r="I28" s="106">
        <f t="shared" si="25"/>
        <v>1409380.5</v>
      </c>
      <c r="J28" s="106">
        <f t="shared" ref="J28:S28" si="27">SUM(J26:J27)</f>
        <v>1233288.4166666665</v>
      </c>
      <c r="K28" s="106">
        <f t="shared" si="27"/>
        <v>1201196.3333333333</v>
      </c>
      <c r="L28" s="106">
        <f t="shared" si="27"/>
        <v>1174104.25</v>
      </c>
      <c r="M28" s="106">
        <f t="shared" si="27"/>
        <v>1147012.1666666665</v>
      </c>
      <c r="N28" s="106">
        <f t="shared" si="27"/>
        <v>1093493</v>
      </c>
      <c r="O28" s="106">
        <f t="shared" si="27"/>
        <v>1039973.8333333333</v>
      </c>
      <c r="P28" s="106">
        <f t="shared" si="27"/>
        <v>986454.66666666663</v>
      </c>
      <c r="Q28" s="106">
        <f t="shared" si="27"/>
        <v>930233.5</v>
      </c>
      <c r="R28" s="106">
        <f t="shared" si="27"/>
        <v>869512.33333333337</v>
      </c>
      <c r="S28" s="106">
        <f t="shared" si="27"/>
        <v>808791.16666666674</v>
      </c>
      <c r="T28" s="107">
        <f t="shared" si="25"/>
        <v>808791.16666666674</v>
      </c>
      <c r="U28" s="106">
        <f t="shared" si="25"/>
        <v>562403.16666666674</v>
      </c>
      <c r="V28" s="106">
        <f t="shared" ref="V28:AF28" si="28">SUM(V26:V27)</f>
        <v>299515.16666666674</v>
      </c>
      <c r="W28" s="106">
        <f t="shared" si="28"/>
        <v>543168.83333333349</v>
      </c>
      <c r="X28" s="106">
        <f t="shared" si="28"/>
        <v>881697.50000000023</v>
      </c>
      <c r="Y28" s="106">
        <f t="shared" si="28"/>
        <v>1305267.8333333335</v>
      </c>
      <c r="Z28" s="106">
        <f t="shared" si="28"/>
        <v>1820713.166666667</v>
      </c>
      <c r="AA28" s="106">
        <f t="shared" si="28"/>
        <v>2103243.2875000001</v>
      </c>
      <c r="AB28" s="106">
        <f t="shared" si="28"/>
        <v>2552963.0666666669</v>
      </c>
      <c r="AC28" s="106">
        <f t="shared" si="28"/>
        <v>3062401.5958333337</v>
      </c>
      <c r="AD28" s="106">
        <f t="shared" si="28"/>
        <v>3631558.8750000005</v>
      </c>
      <c r="AE28" s="106">
        <f t="shared" si="28"/>
        <v>4260434.9041666668</v>
      </c>
      <c r="AF28" s="106">
        <f t="shared" si="28"/>
        <v>4949029.6833333336</v>
      </c>
      <c r="AG28" s="107">
        <f t="shared" si="25"/>
        <v>4949029.6833333336</v>
      </c>
      <c r="AH28" s="893">
        <f t="shared" si="25"/>
        <v>17512347.780208331</v>
      </c>
      <c r="AI28" s="107">
        <f>SUM(AI26:AI27)</f>
        <v>42783270.923420832</v>
      </c>
      <c r="AJ28" s="893">
        <f t="shared" ref="AJ28:AO28" si="29">SUM(AJ26:AJ27)</f>
        <v>86679472.270471618</v>
      </c>
      <c r="AK28" s="893">
        <f t="shared" si="29"/>
        <v>155148080.20299113</v>
      </c>
      <c r="AL28" s="893">
        <f t="shared" si="29"/>
        <v>245398493.38872784</v>
      </c>
      <c r="AM28" s="893">
        <f t="shared" si="29"/>
        <v>351617889.5857265</v>
      </c>
      <c r="AN28" s="893">
        <f t="shared" si="29"/>
        <v>472871834.40414459</v>
      </c>
      <c r="AO28" s="893">
        <f t="shared" si="29"/>
        <v>609011797.44162273</v>
      </c>
      <c r="AP28" s="22"/>
      <c r="AQ28"/>
    </row>
    <row r="29" spans="1:43" ht="12.4" customHeight="1" x14ac:dyDescent="0.2">
      <c r="A29" s="358" t="s">
        <v>168</v>
      </c>
      <c r="B29" s="359">
        <f>B24+B28</f>
        <v>0</v>
      </c>
      <c r="C29" s="360">
        <f t="shared" ref="C29:G29" si="30">C28+C24</f>
        <v>-200</v>
      </c>
      <c r="D29" s="360">
        <f t="shared" si="30"/>
        <v>-400</v>
      </c>
      <c r="E29" s="360">
        <f t="shared" si="30"/>
        <v>1847100</v>
      </c>
      <c r="F29" s="360">
        <f t="shared" si="30"/>
        <v>1846900</v>
      </c>
      <c r="G29" s="361">
        <f t="shared" si="30"/>
        <v>1846900</v>
      </c>
      <c r="H29" s="360">
        <f t="shared" ref="H29:AH29" si="31">H28+H24</f>
        <v>1831516.2500000002</v>
      </c>
      <c r="I29" s="360">
        <f t="shared" si="31"/>
        <v>1592422.1666666667</v>
      </c>
      <c r="J29" s="360">
        <f t="shared" ref="J29:S29" si="32">J28+J24</f>
        <v>1392330.0833333333</v>
      </c>
      <c r="K29" s="360">
        <f t="shared" si="32"/>
        <v>1216238</v>
      </c>
      <c r="L29" s="360">
        <f t="shared" si="32"/>
        <v>1184145.9166666667</v>
      </c>
      <c r="M29" s="360">
        <f t="shared" si="32"/>
        <v>1157053.8333333333</v>
      </c>
      <c r="N29" s="360">
        <f t="shared" si="32"/>
        <v>1105034.6666666667</v>
      </c>
      <c r="O29" s="360">
        <f t="shared" si="32"/>
        <v>1051515.5</v>
      </c>
      <c r="P29" s="360">
        <f t="shared" si="32"/>
        <v>997996.33333333326</v>
      </c>
      <c r="Q29" s="360">
        <f t="shared" si="32"/>
        <v>944477.16666666663</v>
      </c>
      <c r="R29" s="360">
        <f t="shared" si="32"/>
        <v>888256</v>
      </c>
      <c r="S29" s="360">
        <f t="shared" si="32"/>
        <v>827534.83333333337</v>
      </c>
      <c r="T29" s="361">
        <f t="shared" si="31"/>
        <v>827534.83333333337</v>
      </c>
      <c r="U29" s="360">
        <f t="shared" si="31"/>
        <v>713703.66666666674</v>
      </c>
      <c r="V29" s="360">
        <f t="shared" ref="V29:AF29" si="33">V28+V24</f>
        <v>467315.66666666674</v>
      </c>
      <c r="W29" s="360">
        <f t="shared" si="33"/>
        <v>782865.16666666686</v>
      </c>
      <c r="X29" s="360">
        <f t="shared" si="33"/>
        <v>1154956.3333333335</v>
      </c>
      <c r="Y29" s="360">
        <f t="shared" si="33"/>
        <v>1606922.5</v>
      </c>
      <c r="Z29" s="360">
        <f t="shared" si="33"/>
        <v>2128930.3333333335</v>
      </c>
      <c r="AA29" s="360">
        <f t="shared" si="33"/>
        <v>2685024.9541666666</v>
      </c>
      <c r="AB29" s="360">
        <f t="shared" si="33"/>
        <v>2876305.2333333334</v>
      </c>
      <c r="AC29" s="360">
        <f t="shared" si="33"/>
        <v>3392306.2625000002</v>
      </c>
      <c r="AD29" s="360">
        <f t="shared" si="33"/>
        <v>3968026.041666667</v>
      </c>
      <c r="AE29" s="360">
        <f t="shared" si="33"/>
        <v>4603464.5708333338</v>
      </c>
      <c r="AF29" s="360">
        <f t="shared" si="33"/>
        <v>4978162.3638888896</v>
      </c>
      <c r="AG29" s="361">
        <f t="shared" si="31"/>
        <v>4978162.3638888896</v>
      </c>
      <c r="AH29" s="894">
        <f t="shared" si="31"/>
        <v>18465395.660416663</v>
      </c>
      <c r="AI29" s="361">
        <f t="shared" ref="AI29:AO29" si="34">AI28+AI24</f>
        <v>44526870.268233329</v>
      </c>
      <c r="AJ29" s="894">
        <f t="shared" si="34"/>
        <v>89575540.497977763</v>
      </c>
      <c r="AK29" s="894">
        <f t="shared" si="34"/>
        <v>159542315.63279802</v>
      </c>
      <c r="AL29" s="894">
        <f t="shared" si="34"/>
        <v>251130987.56679842</v>
      </c>
      <c r="AM29" s="894">
        <f t="shared" si="34"/>
        <v>358350617.22278762</v>
      </c>
      <c r="AN29" s="894">
        <f t="shared" si="34"/>
        <v>480557937.42390239</v>
      </c>
      <c r="AO29" s="894">
        <f t="shared" si="34"/>
        <v>617654368.07111835</v>
      </c>
      <c r="AP29" s="22"/>
      <c r="AQ29"/>
    </row>
    <row r="30" spans="1:43" ht="12.4" customHeight="1" x14ac:dyDescent="0.2">
      <c r="A30" s="221"/>
      <c r="B30" s="44"/>
      <c r="C30" s="211"/>
      <c r="D30" s="211"/>
      <c r="E30" s="211"/>
      <c r="F30" s="211"/>
      <c r="G30" s="22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23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23"/>
      <c r="AH30" s="895"/>
      <c r="AI30" s="223"/>
      <c r="AJ30" s="895"/>
      <c r="AK30" s="895"/>
      <c r="AL30" s="895"/>
      <c r="AM30" s="895"/>
      <c r="AN30" s="895"/>
      <c r="AO30" s="895"/>
      <c r="AP30" s="22"/>
      <c r="AQ30"/>
    </row>
    <row r="31" spans="1:43" ht="12.4" customHeight="1" x14ac:dyDescent="0.2">
      <c r="A31" s="18" t="s">
        <v>212</v>
      </c>
      <c r="C31" s="49">
        <f t="shared" ref="C31:F31" si="35">C29-C14</f>
        <v>0</v>
      </c>
      <c r="D31" s="49">
        <f t="shared" si="35"/>
        <v>0</v>
      </c>
      <c r="E31" s="49">
        <f t="shared" si="35"/>
        <v>0</v>
      </c>
      <c r="F31" s="49">
        <f t="shared" si="35"/>
        <v>0</v>
      </c>
      <c r="G31" s="877">
        <f>G29-G14</f>
        <v>0</v>
      </c>
      <c r="H31" s="49">
        <f>H29-H14</f>
        <v>0</v>
      </c>
      <c r="I31" s="49">
        <f t="shared" ref="I31:AH31" si="36">I29-I14</f>
        <v>0</v>
      </c>
      <c r="J31" s="49">
        <f t="shared" ref="J31:S31" si="37">J29-J14</f>
        <v>0</v>
      </c>
      <c r="K31" s="49">
        <f t="shared" si="37"/>
        <v>0</v>
      </c>
      <c r="L31" s="49">
        <f t="shared" si="37"/>
        <v>0</v>
      </c>
      <c r="M31" s="49">
        <f t="shared" si="37"/>
        <v>0</v>
      </c>
      <c r="N31" s="49">
        <f t="shared" si="37"/>
        <v>0</v>
      </c>
      <c r="O31" s="49">
        <f t="shared" si="37"/>
        <v>0</v>
      </c>
      <c r="P31" s="49">
        <f t="shared" si="37"/>
        <v>0</v>
      </c>
      <c r="Q31" s="49">
        <f t="shared" si="37"/>
        <v>0</v>
      </c>
      <c r="R31" s="49">
        <f t="shared" si="37"/>
        <v>0</v>
      </c>
      <c r="S31" s="49">
        <f t="shared" si="37"/>
        <v>0</v>
      </c>
      <c r="T31" s="877">
        <f>T29-T14</f>
        <v>0</v>
      </c>
      <c r="U31" s="49">
        <f t="shared" si="36"/>
        <v>0</v>
      </c>
      <c r="V31" s="49">
        <f>V29-V14</f>
        <v>0</v>
      </c>
      <c r="W31" s="49">
        <f t="shared" ref="W31:AF31" si="38">W29-W14</f>
        <v>0</v>
      </c>
      <c r="X31" s="49">
        <f t="shared" si="38"/>
        <v>0</v>
      </c>
      <c r="Y31" s="49">
        <f t="shared" si="38"/>
        <v>0</v>
      </c>
      <c r="Z31" s="49">
        <f t="shared" si="38"/>
        <v>0</v>
      </c>
      <c r="AA31" s="49">
        <f t="shared" si="38"/>
        <v>0</v>
      </c>
      <c r="AB31" s="49">
        <f t="shared" si="38"/>
        <v>0</v>
      </c>
      <c r="AC31" s="49">
        <f t="shared" si="38"/>
        <v>0</v>
      </c>
      <c r="AD31" s="49">
        <f t="shared" si="38"/>
        <v>0</v>
      </c>
      <c r="AE31" s="49">
        <f t="shared" si="38"/>
        <v>0</v>
      </c>
      <c r="AF31" s="49">
        <f t="shared" si="38"/>
        <v>0</v>
      </c>
      <c r="AG31" s="877">
        <f t="shared" si="36"/>
        <v>0</v>
      </c>
      <c r="AH31" s="896">
        <f t="shared" si="36"/>
        <v>0</v>
      </c>
      <c r="AI31" s="877">
        <f>AI29-AI14</f>
        <v>0</v>
      </c>
      <c r="AJ31" s="896">
        <f t="shared" ref="AJ31:AO31" si="39">AJ29-AJ14</f>
        <v>0</v>
      </c>
      <c r="AK31" s="896">
        <f t="shared" si="39"/>
        <v>0</v>
      </c>
      <c r="AL31" s="896">
        <f t="shared" si="39"/>
        <v>0</v>
      </c>
      <c r="AM31" s="896">
        <f t="shared" si="39"/>
        <v>0</v>
      </c>
      <c r="AN31" s="896">
        <f t="shared" si="39"/>
        <v>0</v>
      </c>
      <c r="AO31" s="896">
        <f t="shared" si="39"/>
        <v>0</v>
      </c>
      <c r="AP31" s="22"/>
      <c r="AQ31" s="1"/>
    </row>
    <row r="32" spans="1:43" ht="12.4" customHeight="1" x14ac:dyDescent="0.2">
      <c r="A32"/>
      <c r="T32" s="20"/>
      <c r="AG32" s="20"/>
      <c r="AH32" s="20"/>
    </row>
    <row r="33" spans="1:35" ht="12.4" customHeight="1" x14ac:dyDescent="0.2">
      <c r="A33"/>
      <c r="V33" s="255"/>
      <c r="AG33" s="20"/>
      <c r="AH33" s="20"/>
      <c r="AI33" s="37"/>
    </row>
    <row r="34" spans="1:35" ht="12.4" customHeight="1" x14ac:dyDescent="0.2">
      <c r="A34"/>
      <c r="J34" s="255"/>
      <c r="U34" s="255"/>
      <c r="AG34" s="20"/>
    </row>
    <row r="35" spans="1:35" ht="12.4" customHeight="1" x14ac:dyDescent="0.2">
      <c r="A35"/>
      <c r="AI35" s="37"/>
    </row>
    <row r="36" spans="1:35" ht="12.4" customHeight="1" x14ac:dyDescent="0.2">
      <c r="A36"/>
      <c r="U36" s="872"/>
    </row>
    <row r="37" spans="1:35" ht="12.4" customHeight="1" x14ac:dyDescent="0.2">
      <c r="A37"/>
      <c r="AI37" s="37"/>
    </row>
    <row r="39" spans="1:35" ht="12.4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5" ht="12.4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5" ht="12.4" customHeight="1" x14ac:dyDescent="0.2"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6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5" ht="12.4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5" ht="12.4" customHeight="1" x14ac:dyDescent="0.2"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6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5" ht="12.4" customHeight="1" x14ac:dyDescent="0.2">
      <c r="A44"/>
      <c r="B44" s="1"/>
      <c r="C44" s="1"/>
      <c r="D44" s="1"/>
      <c r="E44" s="1"/>
      <c r="F44" s="1"/>
      <c r="G44" s="1"/>
      <c r="H44"/>
      <c r="I44"/>
      <c r="J44"/>
      <c r="U44"/>
      <c r="V44"/>
      <c r="W44"/>
    </row>
    <row r="45" spans="1:35" ht="12.4" customHeight="1" x14ac:dyDescent="0.2">
      <c r="A45"/>
      <c r="B45" s="1"/>
      <c r="C45" s="1"/>
      <c r="D45" s="1"/>
      <c r="E45" s="1"/>
      <c r="F45" s="1"/>
      <c r="G45" s="1"/>
      <c r="H45"/>
      <c r="I45"/>
      <c r="J45"/>
      <c r="U45"/>
      <c r="V45"/>
      <c r="W45"/>
    </row>
    <row r="46" spans="1:35" ht="12.4" customHeight="1" x14ac:dyDescent="0.2">
      <c r="B46" s="1"/>
      <c r="C46" s="1"/>
      <c r="D46" s="1"/>
      <c r="E46" s="1"/>
      <c r="F46" s="1"/>
      <c r="G46" s="1"/>
      <c r="H46"/>
      <c r="I46"/>
      <c r="J46"/>
      <c r="U46"/>
      <c r="V46"/>
      <c r="W46"/>
    </row>
    <row r="47" spans="1:35" ht="12.4" customHeight="1" x14ac:dyDescent="0.2">
      <c r="B47" s="1"/>
      <c r="C47" s="1"/>
      <c r="D47" s="1"/>
      <c r="E47" s="1"/>
      <c r="F47" s="1"/>
      <c r="G47" s="1"/>
      <c r="H47"/>
      <c r="I47"/>
      <c r="J47"/>
      <c r="U47"/>
      <c r="V47"/>
      <c r="W47"/>
    </row>
    <row r="48" spans="1:35" ht="12.4" customHeight="1" x14ac:dyDescent="0.2">
      <c r="B48" s="1"/>
      <c r="C48" s="1"/>
      <c r="D48" s="1"/>
      <c r="E48" s="1"/>
      <c r="F48" s="1"/>
      <c r="G48" s="1"/>
      <c r="H48"/>
      <c r="I48"/>
      <c r="J48"/>
      <c r="U48"/>
      <c r="V48"/>
      <c r="W48"/>
    </row>
    <row r="49" spans="2:23" ht="12.4" customHeight="1" x14ac:dyDescent="0.2">
      <c r="B49" s="1"/>
      <c r="C49" s="1"/>
      <c r="D49" s="1"/>
      <c r="E49" s="1"/>
      <c r="F49" s="1"/>
      <c r="G49" s="1"/>
      <c r="H49"/>
      <c r="I49"/>
      <c r="J49"/>
      <c r="U49"/>
      <c r="V49"/>
      <c r="W49"/>
    </row>
    <row r="50" spans="2:23" ht="12.4" customHeight="1" x14ac:dyDescent="0.2">
      <c r="B50" s="1"/>
      <c r="C50" s="1"/>
      <c r="D50" s="1"/>
      <c r="E50" s="1"/>
      <c r="F50" s="1"/>
      <c r="G50" s="1"/>
      <c r="H50"/>
      <c r="I50"/>
      <c r="J50"/>
      <c r="U50"/>
      <c r="V50"/>
      <c r="W50"/>
    </row>
    <row r="51" spans="2:23" ht="12.4" customHeight="1" x14ac:dyDescent="0.2">
      <c r="B51" s="1"/>
      <c r="C51" s="1"/>
      <c r="D51" s="1"/>
      <c r="E51" s="1"/>
      <c r="F51" s="1"/>
      <c r="G51" s="1"/>
      <c r="H51"/>
      <c r="I51"/>
      <c r="J51"/>
      <c r="U51"/>
      <c r="V51"/>
      <c r="W51"/>
    </row>
    <row r="52" spans="2:23" ht="12.4" customHeight="1" x14ac:dyDescent="0.2">
      <c r="B52" s="1"/>
      <c r="C52" s="1"/>
      <c r="D52" s="1"/>
      <c r="E52" s="1"/>
      <c r="F52" s="1"/>
      <c r="G52" s="1"/>
      <c r="H52"/>
      <c r="I52"/>
      <c r="J52"/>
      <c r="U52"/>
      <c r="V52"/>
      <c r="W52"/>
    </row>
    <row r="53" spans="2:23" ht="12.4" customHeight="1" x14ac:dyDescent="0.2">
      <c r="B53" s="1"/>
      <c r="C53" s="1"/>
      <c r="D53" s="1"/>
      <c r="E53" s="1"/>
      <c r="F53" s="1"/>
      <c r="G53" s="1"/>
      <c r="H53"/>
      <c r="U53"/>
    </row>
    <row r="63" spans="2:23" ht="12.4" customHeight="1" x14ac:dyDescent="0.2">
      <c r="H63"/>
    </row>
    <row r="64" spans="2:23" ht="12.4" customHeight="1" x14ac:dyDescent="0.2">
      <c r="H64"/>
    </row>
    <row r="66" spans="8:11" ht="12.4" customHeight="1" x14ac:dyDescent="0.2">
      <c r="H66"/>
    </row>
    <row r="67" spans="8:11" ht="12.4" customHeight="1" x14ac:dyDescent="0.2">
      <c r="H67"/>
    </row>
    <row r="69" spans="8:11" ht="12.4" customHeight="1" x14ac:dyDescent="0.2">
      <c r="H69"/>
    </row>
    <row r="70" spans="8:11" ht="12.4" customHeight="1" x14ac:dyDescent="0.2">
      <c r="H70"/>
    </row>
    <row r="72" spans="8:11" ht="12.4" customHeight="1" x14ac:dyDescent="0.2">
      <c r="H72"/>
      <c r="K72"/>
    </row>
    <row r="73" spans="8:11" ht="12.4" customHeight="1" x14ac:dyDescent="0.2">
      <c r="H73"/>
      <c r="K73"/>
    </row>
    <row r="75" spans="8:11" ht="12.4" customHeight="1" x14ac:dyDescent="0.2">
      <c r="H75"/>
    </row>
    <row r="76" spans="8:11" ht="12.4" customHeight="1" x14ac:dyDescent="0.2">
      <c r="H76"/>
    </row>
    <row r="78" spans="8:11" ht="12.4" customHeight="1" x14ac:dyDescent="0.2">
      <c r="H78"/>
      <c r="K78"/>
    </row>
    <row r="79" spans="8:11" ht="12.4" customHeight="1" x14ac:dyDescent="0.2">
      <c r="H79"/>
      <c r="K79"/>
    </row>
    <row r="81" spans="8:8" ht="12.4" customHeight="1" x14ac:dyDescent="0.2">
      <c r="H81"/>
    </row>
    <row r="82" spans="8:8" ht="12.4" customHeight="1" x14ac:dyDescent="0.2">
      <c r="H82"/>
    </row>
  </sheetData>
  <pageMargins left="0.23622047244094491" right="0.23622047244094491" top="0.74803149606299213" bottom="0.74803149606299213" header="0.31496062992125984" footer="0.31496062992125984"/>
  <pageSetup scale="20" orientation="landscape" horizontalDpi="300" verticalDpi="300" r:id="rId1"/>
  <headerFooter alignWithMargins="0">
    <oddHeader>&amp;LBalance Sheet $2mm&amp;RDoc 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41"/>
  <sheetViews>
    <sheetView showGridLines="0" tabSelected="1" zoomScale="55" zoomScaleNormal="55" zoomScaleSheetLayoutView="100" workbookViewId="0">
      <pane xSplit="1" ySplit="2" topLeftCell="B3" activePane="bottomRight" state="frozenSplit"/>
      <selection pane="topRight"/>
      <selection pane="bottomLeft"/>
      <selection pane="bottomRight" activeCell="A66" sqref="A66:A67"/>
    </sheetView>
  </sheetViews>
  <sheetFormatPr defaultColWidth="0" defaultRowHeight="12.4" customHeight="1" outlineLevelCol="1" x14ac:dyDescent="0.2"/>
  <cols>
    <col min="1" max="1" width="65.625" style="1" bestFit="1" customWidth="1"/>
    <col min="2" max="2" width="13.625" style="1" customWidth="1"/>
    <col min="3" max="6" width="13.625" style="1" customWidth="1" outlineLevel="1"/>
    <col min="7" max="7" width="13.625" style="1" customWidth="1"/>
    <col min="8" max="19" width="13.625" style="1" customWidth="1" outlineLevel="1"/>
    <col min="20" max="20" width="13.625" style="1" customWidth="1"/>
    <col min="21" max="32" width="13.625" style="1" customWidth="1" outlineLevel="1"/>
    <col min="33" max="36" width="13.625" style="1" customWidth="1"/>
    <col min="37" max="37" width="15" style="1" bestFit="1" customWidth="1" outlineLevel="1"/>
    <col min="38" max="39" width="14.625" style="1" customWidth="1" outlineLevel="1"/>
    <col min="40" max="40" width="15.25" style="1" customWidth="1" outlineLevel="1"/>
    <col min="41" max="41" width="14.625" style="1" customWidth="1" outlineLevel="1"/>
    <col min="42" max="42" width="8.5" style="1" customWidth="1"/>
    <col min="43" max="45" width="28.75" style="1" hidden="1" customWidth="1"/>
    <col min="46" max="46" width="0" style="1" hidden="1" customWidth="1"/>
    <col min="47" max="47" width="13.625" style="1" hidden="1" customWidth="1"/>
    <col min="48" max="49" width="14.625" style="1" hidden="1" customWidth="1"/>
    <col min="50" max="50" width="15.25" style="1" hidden="1" customWidth="1"/>
    <col min="51" max="51" width="14.625" style="1" hidden="1" customWidth="1"/>
    <col min="52" max="52" width="0" style="1" hidden="1" customWidth="1"/>
    <col min="53" max="55" width="28.75" style="1" hidden="1" customWidth="1"/>
    <col min="56" max="16384" width="9" style="1" hidden="1"/>
  </cols>
  <sheetData>
    <row r="1" spans="1:43" s="75" customFormat="1" ht="16.149999999999999" customHeight="1" x14ac:dyDescent="0.2">
      <c r="A1" s="2" t="s">
        <v>205</v>
      </c>
      <c r="B1" s="851"/>
      <c r="C1" s="851"/>
      <c r="D1" s="851"/>
      <c r="E1" s="851"/>
      <c r="F1" s="851"/>
      <c r="G1" s="317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7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7"/>
      <c r="AH1" s="1031"/>
      <c r="AI1" s="1031"/>
      <c r="AJ1" s="1031"/>
      <c r="AK1" s="1031"/>
      <c r="AL1" s="1031"/>
      <c r="AM1" s="1031"/>
      <c r="AN1" s="1031"/>
      <c r="AO1" s="1031"/>
      <c r="AP1" s="32"/>
      <c r="AQ1"/>
    </row>
    <row r="2" spans="1:43" ht="12.4" customHeight="1" x14ac:dyDescent="0.2">
      <c r="A2" s="675"/>
      <c r="B2" s="852"/>
      <c r="C2" s="697">
        <f>'Sales and COGS Forecasts'!C2</f>
        <v>41153</v>
      </c>
      <c r="D2" s="697">
        <f>'Sales and COGS Forecasts'!D2</f>
        <v>41183</v>
      </c>
      <c r="E2" s="697">
        <f>'Sales and COGS Forecasts'!E2</f>
        <v>41214</v>
      </c>
      <c r="F2" s="697">
        <f>'Sales and COGS Forecasts'!F2</f>
        <v>41244</v>
      </c>
      <c r="G2" s="897">
        <f>'Sales and COGS Forecasts'!G2</f>
        <v>2012</v>
      </c>
      <c r="H2" s="697">
        <f>'Sales and COGS Forecasts'!H2</f>
        <v>41275</v>
      </c>
      <c r="I2" s="697">
        <f>'Sales and COGS Forecasts'!I2</f>
        <v>41306</v>
      </c>
      <c r="J2" s="697">
        <f>'Sales and COGS Forecasts'!J2</f>
        <v>41334</v>
      </c>
      <c r="K2" s="697">
        <f>'Sales and COGS Forecasts'!K2</f>
        <v>41365</v>
      </c>
      <c r="L2" s="697">
        <f>'Sales and COGS Forecasts'!L2</f>
        <v>41395</v>
      </c>
      <c r="M2" s="697">
        <f>'Sales and COGS Forecasts'!M2</f>
        <v>41426</v>
      </c>
      <c r="N2" s="697">
        <f>'Sales and COGS Forecasts'!N2</f>
        <v>41456</v>
      </c>
      <c r="O2" s="697">
        <f>'Sales and COGS Forecasts'!O2</f>
        <v>41487</v>
      </c>
      <c r="P2" s="697">
        <f>'Sales and COGS Forecasts'!P2</f>
        <v>41518</v>
      </c>
      <c r="Q2" s="697">
        <f>'Sales and COGS Forecasts'!Q2</f>
        <v>41548</v>
      </c>
      <c r="R2" s="697">
        <f>'Sales and COGS Forecasts'!R2</f>
        <v>41579</v>
      </c>
      <c r="S2" s="697">
        <f>'Sales and COGS Forecasts'!S2</f>
        <v>41609</v>
      </c>
      <c r="T2" s="878">
        <f>'Sales and COGS Forecasts'!T2</f>
        <v>2013</v>
      </c>
      <c r="U2" s="697">
        <f>'Sales and COGS Forecasts'!U2</f>
        <v>41640</v>
      </c>
      <c r="V2" s="697">
        <f>'Sales and COGS Forecasts'!V2</f>
        <v>41671</v>
      </c>
      <c r="W2" s="697">
        <f>'Sales and COGS Forecasts'!W2</f>
        <v>41699</v>
      </c>
      <c r="X2" s="697">
        <f>'Sales and COGS Forecasts'!X2</f>
        <v>41730</v>
      </c>
      <c r="Y2" s="697">
        <f>'Sales and COGS Forecasts'!Y2</f>
        <v>41760</v>
      </c>
      <c r="Z2" s="697">
        <f>'Sales and COGS Forecasts'!Z2</f>
        <v>41791</v>
      </c>
      <c r="AA2" s="697">
        <f>'Sales and COGS Forecasts'!AA2</f>
        <v>41821</v>
      </c>
      <c r="AB2" s="697">
        <f>'Sales and COGS Forecasts'!AB2</f>
        <v>41852</v>
      </c>
      <c r="AC2" s="697">
        <f>'Sales and COGS Forecasts'!AC2</f>
        <v>41883</v>
      </c>
      <c r="AD2" s="697">
        <f>'Sales and COGS Forecasts'!AD2</f>
        <v>41913</v>
      </c>
      <c r="AE2" s="697">
        <f>'Sales and COGS Forecasts'!AE2</f>
        <v>41944</v>
      </c>
      <c r="AF2" s="697">
        <f>'Sales and COGS Forecasts'!AF2</f>
        <v>41974</v>
      </c>
      <c r="AG2" s="878">
        <f>'Sales and COGS Forecasts'!AG2</f>
        <v>2014</v>
      </c>
      <c r="AH2" s="881">
        <f>'Sales and COGS Forecasts'!AH2</f>
        <v>2015</v>
      </c>
      <c r="AI2" s="881">
        <f>'Sales and COGS Forecasts'!AI2</f>
        <v>2016</v>
      </c>
      <c r="AJ2" s="881">
        <f>'Sales and COGS Forecasts'!AJ2</f>
        <v>2017</v>
      </c>
      <c r="AK2" s="994">
        <f>AJ2+1</f>
        <v>2018</v>
      </c>
      <c r="AL2" s="994">
        <f>AK2+1</f>
        <v>2019</v>
      </c>
      <c r="AM2" s="994">
        <f>AL2+1</f>
        <v>2020</v>
      </c>
      <c r="AN2" s="994">
        <f>AM2+1</f>
        <v>2021</v>
      </c>
      <c r="AO2" s="994">
        <f>AN2+1</f>
        <v>2022</v>
      </c>
      <c r="AP2" s="32"/>
      <c r="AQ2"/>
    </row>
    <row r="3" spans="1:43" s="18" customFormat="1" ht="12.4" customHeight="1" x14ac:dyDescent="0.2">
      <c r="A3" s="739"/>
      <c r="B3" s="785"/>
      <c r="C3" s="785"/>
      <c r="D3" s="785"/>
      <c r="E3" s="785"/>
      <c r="F3" s="785"/>
      <c r="G3" s="241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301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301"/>
      <c r="AH3" s="883"/>
      <c r="AI3" s="883"/>
      <c r="AJ3" s="883"/>
      <c r="AK3" s="883"/>
      <c r="AL3" s="883"/>
      <c r="AM3" s="883"/>
      <c r="AN3" s="883"/>
      <c r="AO3" s="883"/>
    </row>
    <row r="4" spans="1:43" s="18" customFormat="1" ht="12.4" customHeight="1" x14ac:dyDescent="0.2">
      <c r="A4" s="739" t="s">
        <v>209</v>
      </c>
      <c r="B4" s="785"/>
      <c r="C4" s="93">
        <f>'P&amp;L'!C39</f>
        <v>0</v>
      </c>
      <c r="D4" s="93">
        <f>'P&amp;L'!D39</f>
        <v>-52300</v>
      </c>
      <c r="E4" s="93">
        <f>'P&amp;L'!E39</f>
        <v>0</v>
      </c>
      <c r="F4" s="93">
        <f>'P&amp;L'!F39</f>
        <v>0</v>
      </c>
      <c r="G4" s="94">
        <f>SUM(C4:F4)</f>
        <v>-52300</v>
      </c>
      <c r="H4" s="93">
        <f>'P&amp;L'!H39</f>
        <v>-237294.08333333331</v>
      </c>
      <c r="I4" s="93">
        <f>'P&amp;L'!I39</f>
        <v>-199958.75</v>
      </c>
      <c r="J4" s="93">
        <f>'P&amp;L'!J39</f>
        <v>-175958.75</v>
      </c>
      <c r="K4" s="93">
        <f>'P&amp;L'!K39</f>
        <v>-31958.750000000004</v>
      </c>
      <c r="L4" s="93">
        <f>'P&amp;L'!L39</f>
        <v>-26958.750000000004</v>
      </c>
      <c r="M4" s="93">
        <f>'P&amp;L'!M39</f>
        <v>-26958.750000000004</v>
      </c>
      <c r="N4" s="93">
        <f>'P&amp;L'!N39</f>
        <v>-53385.833333333328</v>
      </c>
      <c r="O4" s="93">
        <f>'P&amp;L'!O39</f>
        <v>-53385.833333333328</v>
      </c>
      <c r="P4" s="93">
        <f>'P&amp;L'!P39</f>
        <v>-53385.833333333328</v>
      </c>
      <c r="Q4" s="93">
        <f>'P&amp;L'!Q39</f>
        <v>-56087.833333333328</v>
      </c>
      <c r="R4" s="93">
        <f>'P&amp;L'!R39</f>
        <v>-60587.833333333328</v>
      </c>
      <c r="S4" s="93">
        <f>'P&amp;L'!S39</f>
        <v>-60587.833333333328</v>
      </c>
      <c r="T4" s="94">
        <f>SUM(H4:S4)</f>
        <v>-1036508.8333333335</v>
      </c>
      <c r="U4" s="93">
        <f>'P&amp;L'!U39</f>
        <v>-246204.66666666669</v>
      </c>
      <c r="V4" s="93">
        <f>'P&amp;L'!V39</f>
        <v>-262704.66666666669</v>
      </c>
      <c r="W4" s="93">
        <f>'P&amp;L'!W39</f>
        <v>243837.00000000017</v>
      </c>
      <c r="X4" s="93">
        <f>'P&amp;L'!X39</f>
        <v>338712.00000000006</v>
      </c>
      <c r="Y4" s="93">
        <f>'P&amp;L'!Y39</f>
        <v>423753.66666666669</v>
      </c>
      <c r="Z4" s="93">
        <f>'P&amp;L'!Z39</f>
        <v>515628.66666666669</v>
      </c>
      <c r="AA4" s="93">
        <f>'P&amp;L'!AA39</f>
        <v>335182.91666666651</v>
      </c>
      <c r="AB4" s="93">
        <f>'P&amp;L'!AB39</f>
        <v>692059.91666666674</v>
      </c>
      <c r="AC4" s="93">
        <f>'P&amp;L'!AC39</f>
        <v>783934.91666666674</v>
      </c>
      <c r="AD4" s="93">
        <f>'P&amp;L'!AD39</f>
        <v>875809.91666666674</v>
      </c>
      <c r="AE4" s="93">
        <f>'P&amp;L'!AE39</f>
        <v>967684.91666666674</v>
      </c>
      <c r="AF4" s="93">
        <f>'P&amp;L'!AF39</f>
        <v>1059559.9166666667</v>
      </c>
      <c r="AG4" s="94">
        <f>SUM(U4:AF4)</f>
        <v>5727254.5000000009</v>
      </c>
      <c r="AH4" s="892">
        <f>'P&amp;L'!AH39</f>
        <v>19331181.687499996</v>
      </c>
      <c r="AI4" s="892">
        <f>'P&amp;L'!AI39</f>
        <v>38882143.297249995</v>
      </c>
      <c r="AJ4" s="892">
        <f>'P&amp;L'!AJ39</f>
        <v>67536417.457001209</v>
      </c>
      <c r="AK4" s="892">
        <f>'P&amp;L'!AK39</f>
        <v>105340119.89618382</v>
      </c>
      <c r="AL4" s="892">
        <f>'P&amp;L'!AL39</f>
        <v>138850789.516518</v>
      </c>
      <c r="AM4" s="892">
        <f>'P&amp;L'!AM39</f>
        <v>163418455.68769026</v>
      </c>
      <c r="AN4" s="892">
        <f>'P&amp;L'!AN39</f>
        <v>186548530.48987395</v>
      </c>
      <c r="AO4" s="892">
        <f>'P&amp;L'!AO39</f>
        <v>209450096.98073551</v>
      </c>
    </row>
    <row r="5" spans="1:43" s="18" customFormat="1" ht="12.4" customHeight="1" x14ac:dyDescent="0.2">
      <c r="A5" s="741" t="s">
        <v>294</v>
      </c>
      <c r="B5" s="741"/>
      <c r="C5" s="93">
        <f>Balance!B7-Balance!C7</f>
        <v>0</v>
      </c>
      <c r="D5" s="93">
        <f>Balance!C7-Balance!D7</f>
        <v>0</v>
      </c>
      <c r="E5" s="93">
        <f>Balance!D7-Balance!E7</f>
        <v>0</v>
      </c>
      <c r="F5" s="93">
        <f>Balance!E7-Balance!F7</f>
        <v>0</v>
      </c>
      <c r="G5" s="94">
        <f>SUM(C5:F5)</f>
        <v>0</v>
      </c>
      <c r="H5" s="93">
        <f>Balance!F7-Balance!H7</f>
        <v>0</v>
      </c>
      <c r="I5" s="93">
        <f>Balance!H7-Balance!I7</f>
        <v>0</v>
      </c>
      <c r="J5" s="93">
        <f>Balance!I7-Balance!J7</f>
        <v>0</v>
      </c>
      <c r="K5" s="93">
        <f>Balance!J7-Balance!K7</f>
        <v>0</v>
      </c>
      <c r="L5" s="93">
        <f>Balance!K7-Balance!L7</f>
        <v>0</v>
      </c>
      <c r="M5" s="93">
        <f>Balance!L7-Balance!M7</f>
        <v>0</v>
      </c>
      <c r="N5" s="93">
        <f>Balance!M7-Balance!N7</f>
        <v>0</v>
      </c>
      <c r="O5" s="93">
        <f>Balance!N7-Balance!O7</f>
        <v>0</v>
      </c>
      <c r="P5" s="93">
        <f>Balance!O7-Balance!P7</f>
        <v>0</v>
      </c>
      <c r="Q5" s="93">
        <f>Balance!P7-Balance!Q7</f>
        <v>0</v>
      </c>
      <c r="R5" s="93">
        <f>Balance!Q7-Balance!R7</f>
        <v>0</v>
      </c>
      <c r="S5" s="93">
        <f>Balance!R7-Balance!S7</f>
        <v>0</v>
      </c>
      <c r="T5" s="94">
        <f>SUM(H5:S5)</f>
        <v>0</v>
      </c>
      <c r="U5" s="93">
        <f>Balance!T7-Balance!U7</f>
        <v>0</v>
      </c>
      <c r="V5" s="93">
        <f>Balance!U7-Balance!V7</f>
        <v>0</v>
      </c>
      <c r="W5" s="93">
        <f>Balance!V7-Balance!W7</f>
        <v>-338649.4079968945</v>
      </c>
      <c r="X5" s="93">
        <f>Balance!W7-Balance!X7</f>
        <v>-75194.439052794944</v>
      </c>
      <c r="Y5" s="93">
        <f>Balance!X7-Balance!Y7</f>
        <v>-66412.606754658336</v>
      </c>
      <c r="Z5" s="93">
        <f>Balance!Y7-Balance!Z7</f>
        <v>-57630.774456521729</v>
      </c>
      <c r="AA5" s="93">
        <f>Balance!Z7-Balance!AA7</f>
        <v>-57630.774456521729</v>
      </c>
      <c r="AB5" s="93">
        <f>Balance!AA7-Balance!AB7</f>
        <v>-57630.774456521729</v>
      </c>
      <c r="AC5" s="93">
        <f>Balance!AB7-Balance!AC7</f>
        <v>-57630.774456521845</v>
      </c>
      <c r="AD5" s="93">
        <f>Balance!AC7-Balance!AD7</f>
        <v>-57630.774456521729</v>
      </c>
      <c r="AE5" s="93">
        <f>Balance!AD7-Balance!AE7</f>
        <v>-57630.774456521729</v>
      </c>
      <c r="AF5" s="93">
        <f>Balance!AE7-Balance!AF7</f>
        <v>-57630.774456521729</v>
      </c>
      <c r="AG5" s="94">
        <f>SUM(U5:AF5)</f>
        <v>-883671.875</v>
      </c>
      <c r="AH5" s="892">
        <f>Balance!AF7-Balance!AH7</f>
        <v>-1810776.5624999995</v>
      </c>
      <c r="AI5" s="892">
        <f>Balance!AH7-Balance!AI7</f>
        <v>-2450044.0987500004</v>
      </c>
      <c r="AJ5" s="892">
        <f>Balance!AI7-Balance!AJ7</f>
        <v>-3570570.896006248</v>
      </c>
      <c r="AK5" s="892">
        <f>Balance!AJ7-Balance!AK7</f>
        <v>-4678721.5722326301</v>
      </c>
      <c r="AL5" s="892">
        <f>Balance!AK7-Balance!AL7</f>
        <v>-4161060.3832915202</v>
      </c>
      <c r="AM5" s="892">
        <f>Balance!AL7-Balance!AM7</f>
        <v>-3077784.8065882623</v>
      </c>
      <c r="AN5" s="892">
        <f>Balance!AM7-Balance!AN7</f>
        <v>-2911127.4495453201</v>
      </c>
      <c r="AO5" s="892">
        <f>Balance!AN7-Balance!AO7</f>
        <v>-2895177.3173095435</v>
      </c>
    </row>
    <row r="6" spans="1:43" s="18" customFormat="1" ht="12.4" customHeight="1" x14ac:dyDescent="0.2">
      <c r="A6" s="741" t="s">
        <v>297</v>
      </c>
      <c r="B6" s="741"/>
      <c r="C6" s="93">
        <f>Balance!B8-Balance!C8</f>
        <v>0</v>
      </c>
      <c r="D6" s="93">
        <f>Balance!C8-Balance!D8</f>
        <v>0</v>
      </c>
      <c r="E6" s="93">
        <f>Balance!D8-Balance!E8</f>
        <v>0</v>
      </c>
      <c r="F6" s="93">
        <f>Balance!E8-Balance!F8</f>
        <v>0</v>
      </c>
      <c r="G6" s="94">
        <f>SUM(C6:F6)</f>
        <v>0</v>
      </c>
      <c r="H6" s="93">
        <f>Balance!F8-Balance!H8</f>
        <v>0</v>
      </c>
      <c r="I6" s="93">
        <f>Balance!H8-Balance!I8</f>
        <v>0</v>
      </c>
      <c r="J6" s="93">
        <f>Balance!I8-Balance!J8</f>
        <v>0</v>
      </c>
      <c r="K6" s="93">
        <f>Balance!J8-Balance!K8</f>
        <v>0</v>
      </c>
      <c r="L6" s="93">
        <f>Balance!K8-Balance!L8</f>
        <v>0</v>
      </c>
      <c r="M6" s="93">
        <f>Balance!L8-Balance!M8</f>
        <v>0</v>
      </c>
      <c r="N6" s="93">
        <f>Balance!M8-Balance!N8</f>
        <v>0</v>
      </c>
      <c r="O6" s="93">
        <f>Balance!N8-Balance!O8</f>
        <v>0</v>
      </c>
      <c r="P6" s="93">
        <f>Balance!O8-Balance!P8</f>
        <v>0</v>
      </c>
      <c r="Q6" s="93">
        <f>Balance!P8-Balance!Q8</f>
        <v>0</v>
      </c>
      <c r="R6" s="93">
        <f>Balance!Q8-Balance!R8</f>
        <v>0</v>
      </c>
      <c r="S6" s="93">
        <f>Balance!R8-Balance!S8</f>
        <v>0</v>
      </c>
      <c r="T6" s="94">
        <f>SUM(H6:S6)</f>
        <v>0</v>
      </c>
      <c r="U6" s="93">
        <f>Balance!T8-Balance!U8</f>
        <v>0</v>
      </c>
      <c r="V6" s="93">
        <f>Balance!U8-Balance!V8</f>
        <v>0</v>
      </c>
      <c r="W6" s="93">
        <f>Balance!V8-Balance!W8</f>
        <v>-289218.75000000006</v>
      </c>
      <c r="X6" s="93">
        <f>Balance!W8-Balance!X8</f>
        <v>-64218.749999999942</v>
      </c>
      <c r="Y6" s="93">
        <f>Balance!X8-Balance!Y8</f>
        <v>-56718.75</v>
      </c>
      <c r="Z6" s="93">
        <f>Balance!Y8-Balance!Z8</f>
        <v>-49218.75</v>
      </c>
      <c r="AA6" s="93">
        <f>Balance!Z8-Balance!AA8</f>
        <v>-49218.75</v>
      </c>
      <c r="AB6" s="93">
        <f>Balance!AA8-Balance!AB8</f>
        <v>-49218.75</v>
      </c>
      <c r="AC6" s="93">
        <f>Balance!AB8-Balance!AC8</f>
        <v>-49218.75</v>
      </c>
      <c r="AD6" s="93">
        <f>Balance!AC8-Balance!AD8</f>
        <v>-49218.75</v>
      </c>
      <c r="AE6" s="93">
        <f>Balance!AD8-Balance!AE8</f>
        <v>-49218.75</v>
      </c>
      <c r="AF6" s="93">
        <f>Balance!AE8-Balance!AF8</f>
        <v>263632.8125</v>
      </c>
      <c r="AG6" s="94">
        <f>SUM(U6:AF6)</f>
        <v>-441835.9375</v>
      </c>
      <c r="AH6" s="892">
        <f>Balance!AF8-Balance!AH8</f>
        <v>-905388.28124999977</v>
      </c>
      <c r="AI6" s="892">
        <f>Balance!AH8-Balance!AI8</f>
        <v>-1225022.0493750002</v>
      </c>
      <c r="AJ6" s="892">
        <f>Balance!AI8-Balance!AJ8</f>
        <v>-1785285.448003124</v>
      </c>
      <c r="AK6" s="892">
        <f>Balance!AJ8-Balance!AK8</f>
        <v>-2339360.7861163151</v>
      </c>
      <c r="AL6" s="892">
        <f>Balance!AK8-Balance!AL8</f>
        <v>-2080530.1916457601</v>
      </c>
      <c r="AM6" s="892">
        <f>Balance!AL8-Balance!AM8</f>
        <v>-1538892.4032941312</v>
      </c>
      <c r="AN6" s="892">
        <f>Balance!AM8-Balance!AN8</f>
        <v>-1455563.7247726601</v>
      </c>
      <c r="AO6" s="892">
        <f>Balance!AN8-Balance!AO8</f>
        <v>-1447588.6586547717</v>
      </c>
    </row>
    <row r="7" spans="1:43" s="18" customFormat="1" ht="12.4" customHeight="1" x14ac:dyDescent="0.2">
      <c r="A7" s="741" t="s">
        <v>295</v>
      </c>
      <c r="B7" s="741"/>
      <c r="C7" s="93">
        <f>Balance!C19-Balance!B19</f>
        <v>0</v>
      </c>
      <c r="D7" s="93">
        <f>Balance!D19-Balance!C19</f>
        <v>52300</v>
      </c>
      <c r="E7" s="93">
        <f>Balance!E19-Balance!D19</f>
        <v>-52300</v>
      </c>
      <c r="F7" s="93">
        <f>Balance!F19-Balance!E19</f>
        <v>0</v>
      </c>
      <c r="G7" s="94">
        <f>SUM(C7:F7)</f>
        <v>0</v>
      </c>
      <c r="H7" s="93">
        <f>Balance!H19-Balance!G19</f>
        <v>222043.66666666666</v>
      </c>
      <c r="I7" s="93">
        <f>Balance!I19-Balance!H19</f>
        <v>-39002</v>
      </c>
      <c r="J7" s="93">
        <f>Balance!J19-Balance!I19</f>
        <v>-24000</v>
      </c>
      <c r="K7" s="93">
        <f>Balance!K19-Balance!J19</f>
        <v>-144000</v>
      </c>
      <c r="L7" s="93">
        <f>Balance!L19-Balance!K19</f>
        <v>-4999.9999999999982</v>
      </c>
      <c r="M7" s="93">
        <f>Balance!M19-Balance!L19</f>
        <v>0</v>
      </c>
      <c r="N7" s="93">
        <f>Balance!N19-Balance!M19</f>
        <v>1499.9999999999982</v>
      </c>
      <c r="O7" s="93">
        <f>Balance!O19-Balance!N19</f>
        <v>0</v>
      </c>
      <c r="P7" s="93">
        <f>Balance!P19-Balance!O19</f>
        <v>0</v>
      </c>
      <c r="Q7" s="93">
        <f>Balance!Q19-Balance!P19</f>
        <v>2702</v>
      </c>
      <c r="R7" s="93">
        <f>Balance!R19-Balance!Q19</f>
        <v>4499.9999999999982</v>
      </c>
      <c r="S7" s="93">
        <f>Balance!S19-Balance!R19</f>
        <v>0</v>
      </c>
      <c r="T7" s="94">
        <f>SUM(H7:S7)</f>
        <v>18743.666666666657</v>
      </c>
      <c r="U7" s="93">
        <f>Balance!U19-Balance!T19</f>
        <v>132556.83333333334</v>
      </c>
      <c r="V7" s="93">
        <f>Balance!V19-Balance!U19</f>
        <v>16500.000000000029</v>
      </c>
      <c r="W7" s="93">
        <f>Balance!W19-Balance!V19</f>
        <v>71895.833333333343</v>
      </c>
      <c r="X7" s="93">
        <f>Balance!X19-Balance!W19</f>
        <v>33562.499999999942</v>
      </c>
      <c r="Y7" s="93">
        <f>Balance!Y19-Balance!X19</f>
        <v>28395.833333333314</v>
      </c>
      <c r="Z7" s="93">
        <f>Balance!Z19-Balance!Y19</f>
        <v>6562.5</v>
      </c>
      <c r="AA7" s="93">
        <f>Balance!AA19-Balance!Z19</f>
        <v>273564.50000000012</v>
      </c>
      <c r="AB7" s="93">
        <f>Balance!AB19-Balance!AA19</f>
        <v>-258439.50000000012</v>
      </c>
      <c r="AC7" s="93">
        <f>Balance!AC19-Balance!AB19</f>
        <v>6562.5</v>
      </c>
      <c r="AD7" s="93">
        <f>Balance!AD19-Balance!AC19</f>
        <v>6562.5</v>
      </c>
      <c r="AE7" s="93">
        <f>Balance!AE19-Balance!AD19</f>
        <v>6562.5</v>
      </c>
      <c r="AF7" s="93">
        <f>Balance!AF19-Balance!AE19</f>
        <v>-313896.98611111107</v>
      </c>
      <c r="AG7" s="94">
        <f>SUM(U7:AF7)</f>
        <v>10389.013888888934</v>
      </c>
      <c r="AH7" s="892">
        <f>Balance!AH19-Balance!AF19</f>
        <v>923915.19965277787</v>
      </c>
      <c r="AI7" s="892">
        <f>Balance!AI19-Balance!AH19</f>
        <v>790551.46460416645</v>
      </c>
      <c r="AJ7" s="892">
        <f>Balance!AJ19-Balance!AI19</f>
        <v>1152468.8826936474</v>
      </c>
      <c r="AK7" s="892">
        <f>Balance!AK19-Balance!AJ19</f>
        <v>1498167.2023007465</v>
      </c>
      <c r="AL7" s="892">
        <f>Balance!AL19-Balance!AK19</f>
        <v>1338258.7482636711</v>
      </c>
      <c r="AM7" s="892">
        <f>Balance!AM19-Balance!AL19</f>
        <v>1000233.4589905785</v>
      </c>
      <c r="AN7" s="892">
        <f>Balance!AN19-Balance!AM19</f>
        <v>953375.38269667421</v>
      </c>
      <c r="AO7" s="892">
        <f>Balance!AO19-Balance!AN19</f>
        <v>956467.60973774549</v>
      </c>
    </row>
    <row r="8" spans="1:43" s="747" customFormat="1" ht="12.4" customHeight="1" x14ac:dyDescent="0.2">
      <c r="A8" s="744" t="s">
        <v>296</v>
      </c>
      <c r="B8" s="744"/>
      <c r="C8" s="746">
        <f>SUM(C4:C7)</f>
        <v>0</v>
      </c>
      <c r="D8" s="746">
        <f t="shared" ref="D8:G8" si="0">SUM(D4:D7)</f>
        <v>0</v>
      </c>
      <c r="E8" s="746">
        <f t="shared" si="0"/>
        <v>-52300</v>
      </c>
      <c r="F8" s="746">
        <f t="shared" si="0"/>
        <v>0</v>
      </c>
      <c r="G8" s="973">
        <f t="shared" si="0"/>
        <v>-52300</v>
      </c>
      <c r="H8" s="746">
        <f>SUM(H4:H7)</f>
        <v>-15250.416666666657</v>
      </c>
      <c r="I8" s="746">
        <f t="shared" ref="I8:U8" si="1">SUM(I4:I7)</f>
        <v>-238960.75</v>
      </c>
      <c r="J8" s="746">
        <f t="shared" ref="J8:S8" si="2">SUM(J4:J7)</f>
        <v>-199958.75</v>
      </c>
      <c r="K8" s="746">
        <f t="shared" si="2"/>
        <v>-175958.75</v>
      </c>
      <c r="L8" s="746">
        <f t="shared" si="2"/>
        <v>-31958.75</v>
      </c>
      <c r="M8" s="746">
        <f t="shared" si="2"/>
        <v>-26958.750000000004</v>
      </c>
      <c r="N8" s="746">
        <f t="shared" si="2"/>
        <v>-51885.833333333328</v>
      </c>
      <c r="O8" s="746">
        <f t="shared" si="2"/>
        <v>-53385.833333333328</v>
      </c>
      <c r="P8" s="746">
        <f t="shared" si="2"/>
        <v>-53385.833333333328</v>
      </c>
      <c r="Q8" s="746">
        <f t="shared" si="2"/>
        <v>-53385.833333333328</v>
      </c>
      <c r="R8" s="746">
        <f t="shared" si="2"/>
        <v>-56087.833333333328</v>
      </c>
      <c r="S8" s="746">
        <f t="shared" si="2"/>
        <v>-60587.833333333328</v>
      </c>
      <c r="T8" s="973">
        <f t="shared" si="1"/>
        <v>-1017765.1666666669</v>
      </c>
      <c r="U8" s="746">
        <f t="shared" si="1"/>
        <v>-113647.83333333334</v>
      </c>
      <c r="V8" s="746">
        <f>SUM(V4:V7)</f>
        <v>-246204.66666666666</v>
      </c>
      <c r="W8" s="746">
        <f t="shared" ref="W8:AF8" si="3">SUM(W4:W7)</f>
        <v>-312135.32466356107</v>
      </c>
      <c r="X8" s="746">
        <f t="shared" si="3"/>
        <v>232861.31094720511</v>
      </c>
      <c r="Y8" s="746">
        <f t="shared" si="3"/>
        <v>329018.14324534166</v>
      </c>
      <c r="Z8" s="746">
        <f t="shared" si="3"/>
        <v>415341.64221014496</v>
      </c>
      <c r="AA8" s="746">
        <f t="shared" si="3"/>
        <v>501897.8922101449</v>
      </c>
      <c r="AB8" s="746">
        <f t="shared" si="3"/>
        <v>326770.8922101449</v>
      </c>
      <c r="AC8" s="746">
        <f t="shared" si="3"/>
        <v>683647.8922101449</v>
      </c>
      <c r="AD8" s="746">
        <f t="shared" si="3"/>
        <v>775522.89221014502</v>
      </c>
      <c r="AE8" s="746">
        <f t="shared" si="3"/>
        <v>867397.89221014502</v>
      </c>
      <c r="AF8" s="746">
        <f t="shared" si="3"/>
        <v>951664.96859903401</v>
      </c>
      <c r="AG8" s="973">
        <f t="shared" ref="AG8:AH8" si="4">SUM(AG4:AG7)</f>
        <v>4412135.7013888899</v>
      </c>
      <c r="AH8" s="1032">
        <f t="shared" si="4"/>
        <v>17538932.043402772</v>
      </c>
      <c r="AI8" s="1032">
        <f t="shared" ref="AI8" si="5">SUM(AI4:AI7)</f>
        <v>35997628.613729164</v>
      </c>
      <c r="AJ8" s="1032">
        <f t="shared" ref="AJ8:AO8" si="6">SUM(AJ4:AJ7)</f>
        <v>63333029.995685488</v>
      </c>
      <c r="AK8" s="1032">
        <f t="shared" si="6"/>
        <v>99820204.74013561</v>
      </c>
      <c r="AL8" s="1032">
        <f t="shared" si="6"/>
        <v>133947457.6898444</v>
      </c>
      <c r="AM8" s="1032">
        <f t="shared" si="6"/>
        <v>159802011.93679845</v>
      </c>
      <c r="AN8" s="1032">
        <f t="shared" si="6"/>
        <v>183135214.69825265</v>
      </c>
      <c r="AO8" s="1032">
        <f t="shared" si="6"/>
        <v>206063798.61450896</v>
      </c>
      <c r="AP8" s="277"/>
    </row>
    <row r="9" spans="1:43" s="18" customFormat="1" ht="12.4" customHeight="1" x14ac:dyDescent="0.2">
      <c r="A9" s="739"/>
      <c r="B9" s="785"/>
      <c r="C9" s="740"/>
      <c r="D9" s="740"/>
      <c r="E9" s="740"/>
      <c r="F9" s="740"/>
      <c r="G9" s="301"/>
      <c r="H9" s="740"/>
      <c r="I9" s="740"/>
      <c r="J9" s="740"/>
      <c r="K9" s="740"/>
      <c r="L9" s="740"/>
      <c r="M9" s="740"/>
      <c r="N9" s="740"/>
      <c r="O9" s="740"/>
      <c r="P9" s="740"/>
      <c r="Q9" s="740"/>
      <c r="R9" s="740"/>
      <c r="S9" s="740"/>
      <c r="T9" s="301"/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740"/>
      <c r="AG9" s="301"/>
      <c r="AH9" s="883"/>
      <c r="AI9" s="883"/>
      <c r="AJ9" s="883"/>
      <c r="AK9" s="883"/>
      <c r="AL9" s="883"/>
      <c r="AM9" s="883"/>
      <c r="AN9" s="883"/>
      <c r="AO9" s="883"/>
    </row>
    <row r="10" spans="1:43" s="18" customFormat="1" ht="12.4" customHeight="1" x14ac:dyDescent="0.2">
      <c r="A10" s="742" t="s">
        <v>306</v>
      </c>
      <c r="B10" s="742"/>
      <c r="C10" s="740"/>
      <c r="D10" s="740"/>
      <c r="E10" s="740"/>
      <c r="F10" s="740"/>
      <c r="G10" s="301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301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301"/>
      <c r="AH10" s="883"/>
      <c r="AI10" s="883"/>
      <c r="AJ10" s="883"/>
      <c r="AK10" s="883"/>
      <c r="AL10" s="883"/>
      <c r="AM10" s="883"/>
      <c r="AN10" s="883"/>
      <c r="AO10" s="883"/>
    </row>
    <row r="11" spans="1:43" s="18" customFormat="1" ht="12.4" customHeight="1" x14ac:dyDescent="0.2">
      <c r="A11" s="741" t="s">
        <v>298</v>
      </c>
      <c r="B11" s="741"/>
      <c r="C11" s="93">
        <f>Calculations!C146</f>
        <v>0</v>
      </c>
      <c r="D11" s="93">
        <f>Calculations!D146</f>
        <v>0</v>
      </c>
      <c r="E11" s="93">
        <f>Calculations!E146</f>
        <v>0</v>
      </c>
      <c r="F11" s="93">
        <f>Calculations!F146</f>
        <v>0</v>
      </c>
      <c r="G11" s="94">
        <f>SUM(C11:F11)</f>
        <v>0</v>
      </c>
      <c r="H11" s="93">
        <f>Calculations!H146</f>
        <v>0</v>
      </c>
      <c r="I11" s="93">
        <f>Calculations!I146</f>
        <v>0</v>
      </c>
      <c r="J11" s="93">
        <f>Calculations!J146</f>
        <v>0</v>
      </c>
      <c r="K11" s="93">
        <f>Calculations!K146</f>
        <v>0</v>
      </c>
      <c r="L11" s="93">
        <f>Calculations!L146</f>
        <v>0</v>
      </c>
      <c r="M11" s="93">
        <f>Calculations!M146</f>
        <v>0</v>
      </c>
      <c r="N11" s="93">
        <f>Calculations!N146</f>
        <v>0</v>
      </c>
      <c r="O11" s="93">
        <f>Calculations!O146</f>
        <v>0</v>
      </c>
      <c r="P11" s="93">
        <f>Calculations!P146</f>
        <v>0</v>
      </c>
      <c r="Q11" s="93">
        <f>Calculations!Q146</f>
        <v>0</v>
      </c>
      <c r="R11" s="93">
        <f>Calculations!R146</f>
        <v>0</v>
      </c>
      <c r="S11" s="93">
        <f>Calculations!S146</f>
        <v>0</v>
      </c>
      <c r="T11" s="94">
        <f>SUM(H11:S11)</f>
        <v>0</v>
      </c>
      <c r="U11" s="93">
        <f>Calculations!U146</f>
        <v>0</v>
      </c>
      <c r="V11" s="93">
        <f>Calculations!V146</f>
        <v>0</v>
      </c>
      <c r="W11" s="93">
        <f>Calculations!W146</f>
        <v>0</v>
      </c>
      <c r="X11" s="93">
        <f>Calculations!X146</f>
        <v>0</v>
      </c>
      <c r="Y11" s="93">
        <f>Calculations!Y146</f>
        <v>0</v>
      </c>
      <c r="Z11" s="93">
        <f>Calculations!Z146</f>
        <v>0</v>
      </c>
      <c r="AA11" s="93">
        <f>Calculations!AA146</f>
        <v>0</v>
      </c>
      <c r="AB11" s="93">
        <f>Calculations!AB146</f>
        <v>0</v>
      </c>
      <c r="AC11" s="93">
        <f>Calculations!AC146</f>
        <v>0</v>
      </c>
      <c r="AD11" s="93">
        <f>Calculations!AD146</f>
        <v>0</v>
      </c>
      <c r="AE11" s="93">
        <f>Calculations!AE146</f>
        <v>0</v>
      </c>
      <c r="AF11" s="93">
        <f>Calculations!AF146</f>
        <v>0</v>
      </c>
      <c r="AG11" s="94">
        <f>SUM(U11:AF11)</f>
        <v>0</v>
      </c>
      <c r="AH11" s="892">
        <f>Calculations!AH146</f>
        <v>0</v>
      </c>
      <c r="AI11" s="892">
        <f>Calculations!AI146</f>
        <v>0</v>
      </c>
      <c r="AJ11" s="892">
        <f>Calculations!AJ146</f>
        <v>0</v>
      </c>
      <c r="AK11" s="892">
        <f>Calculations!AK146</f>
        <v>0</v>
      </c>
      <c r="AL11" s="892">
        <f>Calculations!AL146</f>
        <v>0</v>
      </c>
      <c r="AM11" s="892">
        <f>Calculations!AM146</f>
        <v>0</v>
      </c>
      <c r="AN11" s="892">
        <f>Calculations!AN146</f>
        <v>0</v>
      </c>
      <c r="AO11" s="892">
        <f>Calculations!AO146</f>
        <v>0</v>
      </c>
    </row>
    <row r="12" spans="1:43" s="18" customFormat="1" ht="12.4" customHeight="1" x14ac:dyDescent="0.2">
      <c r="A12" s="744" t="s">
        <v>299</v>
      </c>
      <c r="B12" s="744"/>
      <c r="C12" s="746">
        <f>C11</f>
        <v>0</v>
      </c>
      <c r="D12" s="746">
        <f t="shared" ref="D12:G12" si="7">D11</f>
        <v>0</v>
      </c>
      <c r="E12" s="746">
        <f t="shared" si="7"/>
        <v>0</v>
      </c>
      <c r="F12" s="746">
        <f t="shared" si="7"/>
        <v>0</v>
      </c>
      <c r="G12" s="973">
        <f t="shared" si="7"/>
        <v>0</v>
      </c>
      <c r="H12" s="746">
        <f t="shared" ref="H12" si="8">H11</f>
        <v>0</v>
      </c>
      <c r="I12" s="746">
        <f t="shared" ref="I12:U12" si="9">I11</f>
        <v>0</v>
      </c>
      <c r="J12" s="746">
        <f t="shared" ref="J12:S12" si="10">J11</f>
        <v>0</v>
      </c>
      <c r="K12" s="746">
        <f t="shared" si="10"/>
        <v>0</v>
      </c>
      <c r="L12" s="746">
        <f t="shared" si="10"/>
        <v>0</v>
      </c>
      <c r="M12" s="746">
        <f t="shared" si="10"/>
        <v>0</v>
      </c>
      <c r="N12" s="746">
        <f t="shared" si="10"/>
        <v>0</v>
      </c>
      <c r="O12" s="746">
        <f t="shared" si="10"/>
        <v>0</v>
      </c>
      <c r="P12" s="746">
        <f t="shared" si="10"/>
        <v>0</v>
      </c>
      <c r="Q12" s="746">
        <f t="shared" si="10"/>
        <v>0</v>
      </c>
      <c r="R12" s="746">
        <f t="shared" si="10"/>
        <v>0</v>
      </c>
      <c r="S12" s="746">
        <f t="shared" si="10"/>
        <v>0</v>
      </c>
      <c r="T12" s="973">
        <f t="shared" si="9"/>
        <v>0</v>
      </c>
      <c r="U12" s="746">
        <f t="shared" si="9"/>
        <v>0</v>
      </c>
      <c r="V12" s="746">
        <f t="shared" ref="V12:AF12" si="11">V11</f>
        <v>0</v>
      </c>
      <c r="W12" s="746">
        <f t="shared" si="11"/>
        <v>0</v>
      </c>
      <c r="X12" s="746">
        <f t="shared" si="11"/>
        <v>0</v>
      </c>
      <c r="Y12" s="746">
        <f t="shared" si="11"/>
        <v>0</v>
      </c>
      <c r="Z12" s="746">
        <f t="shared" si="11"/>
        <v>0</v>
      </c>
      <c r="AA12" s="746">
        <f t="shared" si="11"/>
        <v>0</v>
      </c>
      <c r="AB12" s="746">
        <f t="shared" si="11"/>
        <v>0</v>
      </c>
      <c r="AC12" s="746">
        <f t="shared" si="11"/>
        <v>0</v>
      </c>
      <c r="AD12" s="746">
        <f t="shared" si="11"/>
        <v>0</v>
      </c>
      <c r="AE12" s="746">
        <f t="shared" si="11"/>
        <v>0</v>
      </c>
      <c r="AF12" s="746">
        <f t="shared" si="11"/>
        <v>0</v>
      </c>
      <c r="AG12" s="973">
        <f t="shared" ref="AG12:AH12" si="12">AG11</f>
        <v>0</v>
      </c>
      <c r="AH12" s="1032">
        <f t="shared" si="12"/>
        <v>0</v>
      </c>
      <c r="AI12" s="1032">
        <f t="shared" ref="AI12:AO12" si="13">AI11</f>
        <v>0</v>
      </c>
      <c r="AJ12" s="1032">
        <f t="shared" si="13"/>
        <v>0</v>
      </c>
      <c r="AK12" s="1032">
        <f t="shared" si="13"/>
        <v>0</v>
      </c>
      <c r="AL12" s="1032">
        <f t="shared" si="13"/>
        <v>0</v>
      </c>
      <c r="AM12" s="1032">
        <f t="shared" si="13"/>
        <v>0</v>
      </c>
      <c r="AN12" s="1032">
        <f t="shared" si="13"/>
        <v>0</v>
      </c>
      <c r="AO12" s="1032">
        <f t="shared" si="13"/>
        <v>0</v>
      </c>
    </row>
    <row r="13" spans="1:43" s="18" customFormat="1" ht="12.4" customHeight="1" x14ac:dyDescent="0.2">
      <c r="A13" s="748"/>
      <c r="B13" s="748"/>
      <c r="C13" s="740"/>
      <c r="D13" s="740"/>
      <c r="E13" s="740"/>
      <c r="F13" s="740"/>
      <c r="G13" s="301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301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301"/>
      <c r="AH13" s="883"/>
      <c r="AI13" s="883"/>
      <c r="AJ13" s="883"/>
      <c r="AK13" s="883"/>
      <c r="AL13" s="883"/>
      <c r="AM13" s="883"/>
      <c r="AN13" s="883"/>
      <c r="AO13" s="883"/>
    </row>
    <row r="14" spans="1:43" s="18" customFormat="1" ht="12.4" customHeight="1" x14ac:dyDescent="0.2">
      <c r="A14" s="749" t="s">
        <v>300</v>
      </c>
      <c r="B14" s="749"/>
      <c r="C14" s="93">
        <f>-Calculations!C190</f>
        <v>-1000</v>
      </c>
      <c r="D14" s="93">
        <f>-Calculations!D190</f>
        <v>0</v>
      </c>
      <c r="E14" s="93">
        <f>-Calculations!E190</f>
        <v>0</v>
      </c>
      <c r="F14" s="93">
        <f>-Calculations!F190</f>
        <v>0</v>
      </c>
      <c r="G14" s="94">
        <f>-Calculations!G190</f>
        <v>-1000</v>
      </c>
      <c r="H14" s="93">
        <f>-Calculations!H190</f>
        <v>-1000</v>
      </c>
      <c r="I14" s="93">
        <f>-Calculations!I190</f>
        <v>0</v>
      </c>
      <c r="J14" s="93">
        <f>-Calculations!J190</f>
        <v>0</v>
      </c>
      <c r="K14" s="93">
        <f>-Calculations!K190</f>
        <v>0</v>
      </c>
      <c r="L14" s="93">
        <f>-Calculations!L190</f>
        <v>0</v>
      </c>
      <c r="M14" s="93">
        <f>-Calculations!M190</f>
        <v>0</v>
      </c>
      <c r="N14" s="93">
        <f>-Calculations!N190</f>
        <v>-3000</v>
      </c>
      <c r="O14" s="93">
        <f>-Calculations!O190</f>
        <v>0</v>
      </c>
      <c r="P14" s="93">
        <f>-Calculations!P190</f>
        <v>0</v>
      </c>
      <c r="Q14" s="93">
        <f>-Calculations!Q190</f>
        <v>0</v>
      </c>
      <c r="R14" s="93">
        <f>-Calculations!R190</f>
        <v>0</v>
      </c>
      <c r="S14" s="93">
        <f>-Calculations!S190</f>
        <v>0</v>
      </c>
      <c r="T14" s="94">
        <f>-Calculations!T190</f>
        <v>-4000</v>
      </c>
      <c r="U14" s="93">
        <f>-Calculations!U190</f>
        <v>-2000</v>
      </c>
      <c r="V14" s="93">
        <f>-Calculations!V190</f>
        <v>0</v>
      </c>
      <c r="W14" s="93">
        <f>-Calculations!W190</f>
        <v>0</v>
      </c>
      <c r="X14" s="93">
        <f>-Calculations!X190</f>
        <v>0</v>
      </c>
      <c r="Y14" s="93">
        <f>-Calculations!Y190</f>
        <v>0</v>
      </c>
      <c r="Z14" s="93">
        <f>-Calculations!Z190</f>
        <v>0</v>
      </c>
      <c r="AA14" s="93">
        <f>-Calculations!AA190</f>
        <v>-1000</v>
      </c>
      <c r="AB14" s="93">
        <f>-Calculations!AB190</f>
        <v>0</v>
      </c>
      <c r="AC14" s="93">
        <f>-Calculations!AC190</f>
        <v>0</v>
      </c>
      <c r="AD14" s="93">
        <f>-Calculations!AD190</f>
        <v>0</v>
      </c>
      <c r="AE14" s="93">
        <f>-Calculations!AE190</f>
        <v>0</v>
      </c>
      <c r="AF14" s="93">
        <f>-Calculations!AF190</f>
        <v>0</v>
      </c>
      <c r="AG14" s="94">
        <f>-Calculations!AG190</f>
        <v>-3000</v>
      </c>
      <c r="AH14" s="892">
        <f>-Calculations!AH190</f>
        <v>-4000</v>
      </c>
      <c r="AI14" s="892">
        <f>-Calculations!AI190</f>
        <v>-4000</v>
      </c>
      <c r="AJ14" s="892">
        <f>-Calculations!AJ190</f>
        <v>-4000</v>
      </c>
      <c r="AK14" s="892">
        <f>-Calculations!AK190</f>
        <v>-4000</v>
      </c>
      <c r="AL14" s="892">
        <f>-Calculations!AL190</f>
        <v>-4000</v>
      </c>
      <c r="AM14" s="892">
        <f>-Calculations!AM190</f>
        <v>-4000</v>
      </c>
      <c r="AN14" s="892">
        <f>-Calculations!AN190</f>
        <v>-4000</v>
      </c>
      <c r="AO14" s="892">
        <f>-Calculations!AO190</f>
        <v>-4000</v>
      </c>
    </row>
    <row r="15" spans="1:43" s="18" customFormat="1" ht="12.4" customHeight="1" x14ac:dyDescent="0.2">
      <c r="A15" s="748"/>
      <c r="B15" s="748"/>
      <c r="C15" s="740"/>
      <c r="D15" s="740"/>
      <c r="E15" s="740"/>
      <c r="F15" s="740"/>
      <c r="G15" s="301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301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301"/>
      <c r="AH15" s="883"/>
      <c r="AI15" s="883"/>
      <c r="AJ15" s="883"/>
      <c r="AK15" s="883"/>
      <c r="AL15" s="883"/>
      <c r="AM15" s="883"/>
      <c r="AN15" s="883"/>
      <c r="AO15" s="883"/>
    </row>
    <row r="16" spans="1:43" s="18" customFormat="1" ht="12.4" customHeight="1" x14ac:dyDescent="0.2">
      <c r="A16" s="741" t="s">
        <v>301</v>
      </c>
      <c r="B16" s="741"/>
      <c r="C16" s="93">
        <f>-Calculations!C158</f>
        <v>0</v>
      </c>
      <c r="D16" s="93">
        <f>-Calculations!D158</f>
        <v>0</v>
      </c>
      <c r="E16" s="93">
        <f>-Calculations!E158</f>
        <v>0</v>
      </c>
      <c r="F16" s="93">
        <f>-Calculations!F158</f>
        <v>0</v>
      </c>
      <c r="G16" s="94">
        <f>SUM(C16:F16)</f>
        <v>0</v>
      </c>
      <c r="H16" s="93">
        <f>-Calculations!H158</f>
        <v>0</v>
      </c>
      <c r="I16" s="93">
        <f>-Calculations!I158</f>
        <v>0</v>
      </c>
      <c r="J16" s="93">
        <f>-Calculations!J158</f>
        <v>0</v>
      </c>
      <c r="K16" s="93">
        <f>-Calculations!K158</f>
        <v>0</v>
      </c>
      <c r="L16" s="93">
        <f>-Calculations!L158</f>
        <v>0</v>
      </c>
      <c r="M16" s="93">
        <f>-Calculations!M158</f>
        <v>0</v>
      </c>
      <c r="N16" s="93">
        <f>-Calculations!N158</f>
        <v>0</v>
      </c>
      <c r="O16" s="93">
        <f>-Calculations!O158</f>
        <v>0</v>
      </c>
      <c r="P16" s="93">
        <f>-Calculations!P158</f>
        <v>0</v>
      </c>
      <c r="Q16" s="93">
        <f>-Calculations!Q158</f>
        <v>0</v>
      </c>
      <c r="R16" s="93">
        <f>-Calculations!R158</f>
        <v>0</v>
      </c>
      <c r="S16" s="93">
        <f>-Calculations!S158</f>
        <v>0</v>
      </c>
      <c r="T16" s="94">
        <f>SUM(H16:S16)</f>
        <v>0</v>
      </c>
      <c r="U16" s="93">
        <f>-Calculations!U158</f>
        <v>0</v>
      </c>
      <c r="V16" s="93">
        <f>-Calculations!V158</f>
        <v>0</v>
      </c>
      <c r="W16" s="93">
        <f>-Calculations!W158</f>
        <v>0</v>
      </c>
      <c r="X16" s="93">
        <f>-Calculations!X158</f>
        <v>0</v>
      </c>
      <c r="Y16" s="93">
        <f>-Calculations!Y158</f>
        <v>0</v>
      </c>
      <c r="Z16" s="93">
        <f>-Calculations!Z158</f>
        <v>0</v>
      </c>
      <c r="AA16" s="93">
        <f>-Calculations!AA158</f>
        <v>-52469.46249999998</v>
      </c>
      <c r="AB16" s="93">
        <f>-Calculations!AB158</f>
        <v>-242156.80416666667</v>
      </c>
      <c r="AC16" s="93">
        <f>-Calculations!AC158</f>
        <v>-274313.05416666664</v>
      </c>
      <c r="AD16" s="93">
        <f>-Calculations!AD158</f>
        <v>-306469.30416666664</v>
      </c>
      <c r="AE16" s="93">
        <f>-Calculations!AE158</f>
        <v>-338625.55416666664</v>
      </c>
      <c r="AF16" s="93">
        <f>-Calculations!AF158</f>
        <v>-370781.8041666667</v>
      </c>
      <c r="AG16" s="94">
        <f>SUM(U16:AF16)</f>
        <v>-1584815.9833333334</v>
      </c>
      <c r="AH16" s="892">
        <f>-Calculations!AH158</f>
        <v>-6764863.5906249983</v>
      </c>
      <c r="AI16" s="892">
        <f>-Calculations!AI158</f>
        <v>-13607420.154037498</v>
      </c>
      <c r="AJ16" s="892">
        <f>-Calculations!AJ158</f>
        <v>-23636416.109950423</v>
      </c>
      <c r="AK16" s="892">
        <f>-Calculations!AK158</f>
        <v>-36867711.963664331</v>
      </c>
      <c r="AL16" s="892">
        <f>-Calculations!AL158</f>
        <v>-48596376.330781296</v>
      </c>
      <c r="AM16" s="892">
        <f>-Calculations!AM158</f>
        <v>-57195059.490691587</v>
      </c>
      <c r="AN16" s="892">
        <f>-Calculations!AN158</f>
        <v>-65290585.671455875</v>
      </c>
      <c r="AO16" s="892">
        <f>-Calculations!AO158</f>
        <v>-73306133.943257421</v>
      </c>
    </row>
    <row r="17" spans="1:41" s="18" customFormat="1" ht="12.4" customHeight="1" x14ac:dyDescent="0.2">
      <c r="A17" s="748"/>
      <c r="B17" s="748"/>
      <c r="C17" s="740"/>
      <c r="D17" s="740"/>
      <c r="E17" s="740"/>
      <c r="F17" s="740"/>
      <c r="G17" s="301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0"/>
      <c r="S17" s="740"/>
      <c r="T17" s="301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740"/>
      <c r="AF17" s="740"/>
      <c r="AG17" s="301"/>
      <c r="AH17" s="883"/>
      <c r="AI17" s="883"/>
      <c r="AJ17" s="883"/>
      <c r="AK17" s="883"/>
      <c r="AL17" s="883"/>
      <c r="AM17" s="883"/>
      <c r="AN17" s="883"/>
      <c r="AO17" s="883"/>
    </row>
    <row r="18" spans="1:41" s="18" customFormat="1" ht="12.4" customHeight="1" x14ac:dyDescent="0.2">
      <c r="A18" s="742" t="s">
        <v>307</v>
      </c>
      <c r="B18" s="742"/>
      <c r="C18" s="740"/>
      <c r="D18" s="740"/>
      <c r="E18" s="740"/>
      <c r="F18" s="740"/>
      <c r="G18" s="301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301"/>
      <c r="U18" s="740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301"/>
      <c r="AH18" s="883"/>
      <c r="AI18" s="883"/>
      <c r="AJ18" s="883"/>
      <c r="AK18" s="883"/>
      <c r="AL18" s="883"/>
      <c r="AM18" s="883"/>
      <c r="AN18" s="883"/>
      <c r="AO18" s="883"/>
    </row>
    <row r="19" spans="1:41" s="18" customFormat="1" ht="12.4" customHeight="1" x14ac:dyDescent="0.2">
      <c r="A19" s="346" t="s">
        <v>313</v>
      </c>
      <c r="B19" s="346"/>
      <c r="C19" s="750">
        <v>0</v>
      </c>
      <c r="D19" s="750">
        <v>0</v>
      </c>
      <c r="E19" s="750">
        <v>0</v>
      </c>
      <c r="F19" s="750">
        <v>0</v>
      </c>
      <c r="G19" s="94">
        <f>SUM(C19:F19)</f>
        <v>0</v>
      </c>
      <c r="H19" s="750">
        <v>0</v>
      </c>
      <c r="I19" s="750">
        <v>0</v>
      </c>
      <c r="J19" s="750">
        <v>0</v>
      </c>
      <c r="K19" s="750">
        <v>0</v>
      </c>
      <c r="L19" s="750">
        <v>0</v>
      </c>
      <c r="M19" s="750">
        <v>0</v>
      </c>
      <c r="N19" s="750">
        <v>0</v>
      </c>
      <c r="O19" s="750">
        <v>0</v>
      </c>
      <c r="P19" s="750">
        <v>0</v>
      </c>
      <c r="Q19" s="750">
        <v>0</v>
      </c>
      <c r="R19" s="750">
        <v>0</v>
      </c>
      <c r="S19" s="750">
        <v>0</v>
      </c>
      <c r="T19" s="94">
        <f t="shared" ref="T19:T24" si="14">SUM(H19:S19)</f>
        <v>0</v>
      </c>
      <c r="U19" s="750">
        <v>0</v>
      </c>
      <c r="V19" s="750">
        <v>0</v>
      </c>
      <c r="W19" s="750">
        <v>0</v>
      </c>
      <c r="X19" s="750">
        <v>0</v>
      </c>
      <c r="Y19" s="750">
        <v>0</v>
      </c>
      <c r="Z19" s="750">
        <v>0</v>
      </c>
      <c r="AA19" s="750">
        <v>0</v>
      </c>
      <c r="AB19" s="750">
        <v>0</v>
      </c>
      <c r="AC19" s="750">
        <v>0</v>
      </c>
      <c r="AD19" s="750">
        <v>0</v>
      </c>
      <c r="AE19" s="750">
        <v>0</v>
      </c>
      <c r="AF19" s="750">
        <v>0</v>
      </c>
      <c r="AG19" s="94">
        <f t="shared" ref="AG19:AG24" si="15">SUM(U19:AF19)</f>
        <v>0</v>
      </c>
      <c r="AH19" s="1033">
        <v>0</v>
      </c>
      <c r="AI19" s="1033">
        <v>0</v>
      </c>
      <c r="AJ19" s="1033">
        <v>0</v>
      </c>
      <c r="AK19" s="1033">
        <v>0</v>
      </c>
      <c r="AL19" s="1033">
        <v>0</v>
      </c>
      <c r="AM19" s="1033">
        <v>0</v>
      </c>
      <c r="AN19" s="1033">
        <v>0</v>
      </c>
      <c r="AO19" s="1033">
        <v>0</v>
      </c>
    </row>
    <row r="20" spans="1:41" s="18" customFormat="1" ht="12.4" customHeight="1" x14ac:dyDescent="0.2">
      <c r="A20" s="741" t="s">
        <v>314</v>
      </c>
      <c r="B20" s="741"/>
      <c r="C20" s="750">
        <v>0</v>
      </c>
      <c r="D20" s="750">
        <v>0</v>
      </c>
      <c r="E20" s="750">
        <v>0</v>
      </c>
      <c r="F20" s="750">
        <v>0</v>
      </c>
      <c r="G20" s="94">
        <f t="shared" ref="G20:G25" si="16">SUM(C20:F20)</f>
        <v>0</v>
      </c>
      <c r="H20" s="750">
        <v>0</v>
      </c>
      <c r="I20" s="750">
        <v>0</v>
      </c>
      <c r="J20" s="750">
        <v>0</v>
      </c>
      <c r="K20" s="750">
        <v>0</v>
      </c>
      <c r="L20" s="750">
        <v>0</v>
      </c>
      <c r="M20" s="750">
        <v>0</v>
      </c>
      <c r="N20" s="750">
        <v>0</v>
      </c>
      <c r="O20" s="750">
        <v>0</v>
      </c>
      <c r="P20" s="750">
        <v>0</v>
      </c>
      <c r="Q20" s="750">
        <v>0</v>
      </c>
      <c r="R20" s="750">
        <v>0</v>
      </c>
      <c r="S20" s="750">
        <v>0</v>
      </c>
      <c r="T20" s="94">
        <f t="shared" si="14"/>
        <v>0</v>
      </c>
      <c r="U20" s="750">
        <v>0</v>
      </c>
      <c r="V20" s="750">
        <v>0</v>
      </c>
      <c r="W20" s="750">
        <v>0</v>
      </c>
      <c r="X20" s="750">
        <v>0</v>
      </c>
      <c r="Y20" s="750">
        <v>0</v>
      </c>
      <c r="Z20" s="750">
        <v>0</v>
      </c>
      <c r="AA20" s="750">
        <v>0</v>
      </c>
      <c r="AB20" s="750">
        <v>0</v>
      </c>
      <c r="AC20" s="750">
        <v>0</v>
      </c>
      <c r="AD20" s="750">
        <v>0</v>
      </c>
      <c r="AE20" s="750">
        <v>0</v>
      </c>
      <c r="AF20" s="750">
        <v>0</v>
      </c>
      <c r="AG20" s="94">
        <f t="shared" si="15"/>
        <v>0</v>
      </c>
      <c r="AH20" s="1033">
        <v>0</v>
      </c>
      <c r="AI20" s="1033">
        <v>0</v>
      </c>
      <c r="AJ20" s="1033">
        <v>0</v>
      </c>
      <c r="AK20" s="1033">
        <v>0</v>
      </c>
      <c r="AL20" s="1033">
        <v>0</v>
      </c>
      <c r="AM20" s="1033">
        <v>0</v>
      </c>
      <c r="AN20" s="1033">
        <v>0</v>
      </c>
      <c r="AO20" s="1033">
        <v>0</v>
      </c>
    </row>
    <row r="21" spans="1:41" s="18" customFormat="1" ht="12.4" customHeight="1" x14ac:dyDescent="0.2">
      <c r="A21" s="346" t="s">
        <v>315</v>
      </c>
      <c r="B21" s="346"/>
      <c r="C21" s="750">
        <v>0</v>
      </c>
      <c r="D21" s="750">
        <v>0</v>
      </c>
      <c r="E21" s="750">
        <v>0</v>
      </c>
      <c r="F21" s="750">
        <v>0</v>
      </c>
      <c r="G21" s="94">
        <f t="shared" si="16"/>
        <v>0</v>
      </c>
      <c r="H21" s="750">
        <v>0</v>
      </c>
      <c r="I21" s="750">
        <v>0</v>
      </c>
      <c r="J21" s="750">
        <v>0</v>
      </c>
      <c r="K21" s="750">
        <v>0</v>
      </c>
      <c r="L21" s="750">
        <v>0</v>
      </c>
      <c r="M21" s="750">
        <v>0</v>
      </c>
      <c r="N21" s="750">
        <v>0</v>
      </c>
      <c r="O21" s="750">
        <v>0</v>
      </c>
      <c r="P21" s="750">
        <v>0</v>
      </c>
      <c r="Q21" s="750">
        <v>0</v>
      </c>
      <c r="R21" s="750">
        <v>0</v>
      </c>
      <c r="S21" s="750">
        <v>0</v>
      </c>
      <c r="T21" s="94">
        <f t="shared" si="14"/>
        <v>0</v>
      </c>
      <c r="U21" s="750">
        <v>0</v>
      </c>
      <c r="V21" s="750">
        <v>0</v>
      </c>
      <c r="W21" s="750">
        <v>0</v>
      </c>
      <c r="X21" s="750">
        <v>0</v>
      </c>
      <c r="Y21" s="750">
        <v>0</v>
      </c>
      <c r="Z21" s="750">
        <v>0</v>
      </c>
      <c r="AA21" s="750">
        <v>0</v>
      </c>
      <c r="AB21" s="750">
        <v>0</v>
      </c>
      <c r="AC21" s="750">
        <v>0</v>
      </c>
      <c r="AD21" s="750">
        <v>0</v>
      </c>
      <c r="AE21" s="750">
        <v>0</v>
      </c>
      <c r="AF21" s="750">
        <v>0</v>
      </c>
      <c r="AG21" s="94">
        <f t="shared" si="15"/>
        <v>0</v>
      </c>
      <c r="AH21" s="1033">
        <v>0</v>
      </c>
      <c r="AI21" s="1033">
        <v>0</v>
      </c>
      <c r="AJ21" s="1033">
        <v>0</v>
      </c>
      <c r="AK21" s="1033">
        <v>0</v>
      </c>
      <c r="AL21" s="1033">
        <v>0</v>
      </c>
      <c r="AM21" s="1033">
        <v>0</v>
      </c>
      <c r="AN21" s="1033">
        <v>0</v>
      </c>
      <c r="AO21" s="1033">
        <v>0</v>
      </c>
    </row>
    <row r="22" spans="1:41" s="18" customFormat="1" ht="12.4" customHeight="1" x14ac:dyDescent="0.2">
      <c r="A22" s="741" t="s">
        <v>316</v>
      </c>
      <c r="B22" s="741"/>
      <c r="C22" s="750">
        <v>0</v>
      </c>
      <c r="D22" s="750">
        <v>0</v>
      </c>
      <c r="E22" s="750">
        <v>0</v>
      </c>
      <c r="F22" s="750">
        <v>0</v>
      </c>
      <c r="G22" s="94">
        <f t="shared" si="16"/>
        <v>0</v>
      </c>
      <c r="H22" s="750">
        <v>0</v>
      </c>
      <c r="I22" s="750">
        <v>0</v>
      </c>
      <c r="J22" s="750">
        <v>0</v>
      </c>
      <c r="K22" s="750">
        <v>0</v>
      </c>
      <c r="L22" s="750">
        <v>0</v>
      </c>
      <c r="M22" s="750">
        <v>0</v>
      </c>
      <c r="N22" s="750">
        <v>0</v>
      </c>
      <c r="O22" s="750">
        <v>0</v>
      </c>
      <c r="P22" s="750">
        <v>0</v>
      </c>
      <c r="Q22" s="750">
        <v>0</v>
      </c>
      <c r="R22" s="750">
        <v>0</v>
      </c>
      <c r="S22" s="750">
        <v>0</v>
      </c>
      <c r="T22" s="94">
        <f t="shared" si="14"/>
        <v>0</v>
      </c>
      <c r="U22" s="750">
        <v>0</v>
      </c>
      <c r="V22" s="750">
        <v>0</v>
      </c>
      <c r="W22" s="750">
        <v>0</v>
      </c>
      <c r="X22" s="750">
        <v>0</v>
      </c>
      <c r="Y22" s="750">
        <v>0</v>
      </c>
      <c r="Z22" s="750">
        <v>0</v>
      </c>
      <c r="AA22" s="750">
        <v>0</v>
      </c>
      <c r="AB22" s="750">
        <v>0</v>
      </c>
      <c r="AC22" s="750">
        <v>0</v>
      </c>
      <c r="AD22" s="750">
        <v>0</v>
      </c>
      <c r="AE22" s="750">
        <v>0</v>
      </c>
      <c r="AF22" s="750">
        <v>0</v>
      </c>
      <c r="AG22" s="94">
        <f t="shared" si="15"/>
        <v>0</v>
      </c>
      <c r="AH22" s="1033">
        <v>0</v>
      </c>
      <c r="AI22" s="1033">
        <v>0</v>
      </c>
      <c r="AJ22" s="1033">
        <v>0</v>
      </c>
      <c r="AK22" s="1033">
        <v>0</v>
      </c>
      <c r="AL22" s="1033">
        <v>0</v>
      </c>
      <c r="AM22" s="1033">
        <v>0</v>
      </c>
      <c r="AN22" s="1033">
        <v>0</v>
      </c>
      <c r="AO22" s="1033">
        <v>0</v>
      </c>
    </row>
    <row r="23" spans="1:41" s="18" customFormat="1" ht="12.4" customHeight="1" x14ac:dyDescent="0.2">
      <c r="A23" s="741" t="s">
        <v>308</v>
      </c>
      <c r="B23" s="741"/>
      <c r="C23" s="750">
        <v>0</v>
      </c>
      <c r="D23" s="750">
        <v>0</v>
      </c>
      <c r="E23" s="1037">
        <v>1900000</v>
      </c>
      <c r="F23" s="750">
        <v>0</v>
      </c>
      <c r="G23" s="94">
        <f t="shared" si="16"/>
        <v>1900000</v>
      </c>
      <c r="H23" s="750">
        <v>0</v>
      </c>
      <c r="I23" s="750">
        <v>0</v>
      </c>
      <c r="J23" s="750">
        <v>0</v>
      </c>
      <c r="K23" s="750">
        <v>0</v>
      </c>
      <c r="L23" s="750">
        <v>0</v>
      </c>
      <c r="M23" s="750">
        <v>0</v>
      </c>
      <c r="N23" s="750">
        <v>0</v>
      </c>
      <c r="O23" s="750">
        <v>0</v>
      </c>
      <c r="P23" s="750">
        <v>0</v>
      </c>
      <c r="Q23" s="750">
        <v>0</v>
      </c>
      <c r="R23" s="750">
        <v>0</v>
      </c>
      <c r="S23" s="750">
        <v>0</v>
      </c>
      <c r="T23" s="94">
        <f>SUM(H23:S23)</f>
        <v>0</v>
      </c>
      <c r="U23" s="750">
        <v>0</v>
      </c>
      <c r="V23" s="750">
        <v>0</v>
      </c>
      <c r="W23" s="750">
        <v>0</v>
      </c>
      <c r="X23" s="750">
        <v>0</v>
      </c>
      <c r="Y23" s="750">
        <v>0</v>
      </c>
      <c r="Z23" s="750">
        <v>0</v>
      </c>
      <c r="AA23" s="750">
        <v>0</v>
      </c>
      <c r="AB23" s="750">
        <v>0</v>
      </c>
      <c r="AC23" s="750">
        <v>0</v>
      </c>
      <c r="AD23" s="750">
        <v>0</v>
      </c>
      <c r="AE23" s="750">
        <v>0</v>
      </c>
      <c r="AF23" s="750">
        <v>0</v>
      </c>
      <c r="AG23" s="94">
        <f t="shared" si="15"/>
        <v>0</v>
      </c>
      <c r="AH23" s="1033">
        <v>0</v>
      </c>
      <c r="AI23" s="1033">
        <v>0</v>
      </c>
      <c r="AJ23" s="1033">
        <v>0</v>
      </c>
      <c r="AK23" s="1033">
        <v>0</v>
      </c>
      <c r="AL23" s="1033">
        <v>0</v>
      </c>
      <c r="AM23" s="1033">
        <v>0</v>
      </c>
      <c r="AN23" s="1033">
        <v>0</v>
      </c>
      <c r="AO23" s="1033">
        <v>0</v>
      </c>
    </row>
    <row r="24" spans="1:41" s="18" customFormat="1" ht="12.4" customHeight="1" x14ac:dyDescent="0.2">
      <c r="A24" s="741" t="s">
        <v>312</v>
      </c>
      <c r="B24" s="741"/>
      <c r="C24" s="93">
        <f>-Calculations!C164</f>
        <v>0</v>
      </c>
      <c r="D24" s="93">
        <f>-Calculations!D164</f>
        <v>0</v>
      </c>
      <c r="E24" s="93">
        <f>-Calculations!E164</f>
        <v>0</v>
      </c>
      <c r="F24" s="93">
        <f>-Calculations!F164</f>
        <v>0</v>
      </c>
      <c r="G24" s="94">
        <f t="shared" si="16"/>
        <v>0</v>
      </c>
      <c r="H24" s="93">
        <f>-Calculations!H164</f>
        <v>0</v>
      </c>
      <c r="I24" s="93">
        <f>-Calculations!I164</f>
        <v>0</v>
      </c>
      <c r="J24" s="93">
        <f>-Calculations!J164</f>
        <v>0</v>
      </c>
      <c r="K24" s="93">
        <f>-Calculations!K164</f>
        <v>0</v>
      </c>
      <c r="L24" s="93">
        <f>-Calculations!L164</f>
        <v>0</v>
      </c>
      <c r="M24" s="93">
        <f>-Calculations!M164</f>
        <v>0</v>
      </c>
      <c r="N24" s="93">
        <f>-Calculations!N164</f>
        <v>0</v>
      </c>
      <c r="O24" s="93">
        <f>-Calculations!O164</f>
        <v>0</v>
      </c>
      <c r="P24" s="93">
        <f>-Calculations!P164</f>
        <v>0</v>
      </c>
      <c r="Q24" s="93">
        <f>-Calculations!Q164</f>
        <v>0</v>
      </c>
      <c r="R24" s="93">
        <f>-Calculations!R164</f>
        <v>0</v>
      </c>
      <c r="S24" s="93">
        <f>-Calculations!S164</f>
        <v>0</v>
      </c>
      <c r="T24" s="94">
        <f t="shared" si="14"/>
        <v>0</v>
      </c>
      <c r="U24" s="93">
        <f>-Calculations!U164</f>
        <v>0</v>
      </c>
      <c r="V24" s="93">
        <f>-Calculations!V164</f>
        <v>0</v>
      </c>
      <c r="W24" s="93">
        <f>-Calculations!W164</f>
        <v>0</v>
      </c>
      <c r="X24" s="93">
        <f>-Calculations!X164</f>
        <v>0</v>
      </c>
      <c r="Y24" s="93">
        <f>-Calculations!Y164</f>
        <v>0</v>
      </c>
      <c r="Z24" s="93">
        <f>-Calculations!Z164</f>
        <v>0</v>
      </c>
      <c r="AA24" s="93">
        <f>-Calculations!AA164</f>
        <v>0</v>
      </c>
      <c r="AB24" s="93">
        <f>-Calculations!AB164</f>
        <v>0</v>
      </c>
      <c r="AC24" s="93">
        <f>-Calculations!AC164</f>
        <v>0</v>
      </c>
      <c r="AD24" s="93">
        <f>-Calculations!AD164</f>
        <v>0</v>
      </c>
      <c r="AE24" s="93">
        <f>-Calculations!AE164</f>
        <v>0</v>
      </c>
      <c r="AF24" s="93">
        <f>-Calculations!AF164</f>
        <v>0</v>
      </c>
      <c r="AG24" s="94">
        <f t="shared" si="15"/>
        <v>0</v>
      </c>
      <c r="AH24" s="892">
        <f>-Calculations!AH164</f>
        <v>0</v>
      </c>
      <c r="AI24" s="892">
        <f>-Calculations!AI164</f>
        <v>0</v>
      </c>
      <c r="AJ24" s="892">
        <f>-Calculations!AJ164</f>
        <v>0</v>
      </c>
      <c r="AK24" s="892">
        <f>-Calculations!AK164</f>
        <v>0</v>
      </c>
      <c r="AL24" s="892">
        <f>-Calculations!AL164</f>
        <v>0</v>
      </c>
      <c r="AM24" s="892">
        <f>-Calculations!AM164</f>
        <v>0</v>
      </c>
      <c r="AN24" s="892">
        <f>-Calculations!AN164</f>
        <v>0</v>
      </c>
      <c r="AO24" s="892">
        <f>-Calculations!AO164</f>
        <v>0</v>
      </c>
    </row>
    <row r="25" spans="1:41" s="18" customFormat="1" ht="12.4" customHeight="1" x14ac:dyDescent="0.2">
      <c r="A25" s="744" t="s">
        <v>302</v>
      </c>
      <c r="B25" s="744"/>
      <c r="C25" s="746">
        <f>SUM(C19:C24)</f>
        <v>0</v>
      </c>
      <c r="D25" s="746">
        <f t="shared" ref="D25:F25" si="17">SUM(D19:D24)</f>
        <v>0</v>
      </c>
      <c r="E25" s="746">
        <f t="shared" si="17"/>
        <v>1900000</v>
      </c>
      <c r="F25" s="746">
        <f t="shared" si="17"/>
        <v>0</v>
      </c>
      <c r="G25" s="973">
        <f t="shared" si="16"/>
        <v>1900000</v>
      </c>
      <c r="H25" s="746">
        <f t="shared" ref="H25" si="18">SUM(H19:H24)</f>
        <v>0</v>
      </c>
      <c r="I25" s="746">
        <f t="shared" ref="I25" si="19">SUM(I19:I24)</f>
        <v>0</v>
      </c>
      <c r="J25" s="746">
        <f t="shared" ref="J25:S25" si="20">SUM(J19:J24)</f>
        <v>0</v>
      </c>
      <c r="K25" s="746">
        <f t="shared" si="20"/>
        <v>0</v>
      </c>
      <c r="L25" s="746">
        <f t="shared" si="20"/>
        <v>0</v>
      </c>
      <c r="M25" s="746">
        <f t="shared" si="20"/>
        <v>0</v>
      </c>
      <c r="N25" s="746">
        <f t="shared" si="20"/>
        <v>0</v>
      </c>
      <c r="O25" s="746">
        <f t="shared" si="20"/>
        <v>0</v>
      </c>
      <c r="P25" s="746">
        <f t="shared" si="20"/>
        <v>0</v>
      </c>
      <c r="Q25" s="746">
        <f t="shared" si="20"/>
        <v>0</v>
      </c>
      <c r="R25" s="746">
        <f t="shared" si="20"/>
        <v>0</v>
      </c>
      <c r="S25" s="746">
        <f t="shared" si="20"/>
        <v>0</v>
      </c>
      <c r="T25" s="973">
        <f>SUM(T19:T24)</f>
        <v>0</v>
      </c>
      <c r="U25" s="746">
        <f t="shared" ref="U25:AF25" si="21">SUM(U19:U24)</f>
        <v>0</v>
      </c>
      <c r="V25" s="746">
        <f t="shared" si="21"/>
        <v>0</v>
      </c>
      <c r="W25" s="746">
        <f t="shared" si="21"/>
        <v>0</v>
      </c>
      <c r="X25" s="746">
        <f t="shared" si="21"/>
        <v>0</v>
      </c>
      <c r="Y25" s="746">
        <f t="shared" si="21"/>
        <v>0</v>
      </c>
      <c r="Z25" s="746">
        <f t="shared" si="21"/>
        <v>0</v>
      </c>
      <c r="AA25" s="746">
        <f t="shared" si="21"/>
        <v>0</v>
      </c>
      <c r="AB25" s="746">
        <f t="shared" si="21"/>
        <v>0</v>
      </c>
      <c r="AC25" s="746">
        <f t="shared" si="21"/>
        <v>0</v>
      </c>
      <c r="AD25" s="746">
        <f t="shared" si="21"/>
        <v>0</v>
      </c>
      <c r="AE25" s="746">
        <f t="shared" si="21"/>
        <v>0</v>
      </c>
      <c r="AF25" s="746">
        <f t="shared" si="21"/>
        <v>0</v>
      </c>
      <c r="AG25" s="973">
        <f t="shared" ref="AG25:AH25" si="22">SUM(AG19:AG24)</f>
        <v>0</v>
      </c>
      <c r="AH25" s="1032">
        <f t="shared" si="22"/>
        <v>0</v>
      </c>
      <c r="AI25" s="1032">
        <f t="shared" ref="AI25:AO25" si="23">SUM(AI19:AI24)</f>
        <v>0</v>
      </c>
      <c r="AJ25" s="1032">
        <f t="shared" si="23"/>
        <v>0</v>
      </c>
      <c r="AK25" s="1032">
        <f t="shared" si="23"/>
        <v>0</v>
      </c>
      <c r="AL25" s="1032">
        <f t="shared" si="23"/>
        <v>0</v>
      </c>
      <c r="AM25" s="1032">
        <f t="shared" si="23"/>
        <v>0</v>
      </c>
      <c r="AN25" s="1032">
        <f t="shared" si="23"/>
        <v>0</v>
      </c>
      <c r="AO25" s="1032">
        <f t="shared" si="23"/>
        <v>0</v>
      </c>
    </row>
    <row r="26" spans="1:41" s="18" customFormat="1" ht="12.4" customHeight="1" x14ac:dyDescent="0.2">
      <c r="A26" s="748"/>
      <c r="B26" s="748"/>
      <c r="C26" s="740"/>
      <c r="D26" s="740"/>
      <c r="E26" s="740"/>
      <c r="F26" s="740"/>
      <c r="G26" s="301"/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301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301"/>
      <c r="AH26" s="883"/>
      <c r="AI26" s="883"/>
      <c r="AJ26" s="883"/>
      <c r="AK26" s="883"/>
      <c r="AL26" s="883"/>
      <c r="AM26" s="883"/>
      <c r="AN26" s="883"/>
      <c r="AO26" s="883"/>
    </row>
    <row r="27" spans="1:41" s="18" customFormat="1" ht="12.4" customHeight="1" x14ac:dyDescent="0.2">
      <c r="A27" s="742" t="s">
        <v>303</v>
      </c>
      <c r="B27" s="742"/>
      <c r="C27" s="743">
        <f>C8+C12+C14+C16+C25</f>
        <v>-1000</v>
      </c>
      <c r="D27" s="743">
        <f t="shared" ref="D27:G27" si="24">D8+D12+D14+D16+D25</f>
        <v>0</v>
      </c>
      <c r="E27" s="743">
        <f t="shared" si="24"/>
        <v>1847700</v>
      </c>
      <c r="F27" s="743">
        <f t="shared" si="24"/>
        <v>0</v>
      </c>
      <c r="G27" s="758">
        <f t="shared" si="24"/>
        <v>1846700</v>
      </c>
      <c r="H27" s="743">
        <f>H8+H12+H14+H16+H25</f>
        <v>-16250.416666666657</v>
      </c>
      <c r="I27" s="743">
        <f t="shared" ref="I27:AH27" si="25">I8+I12+I14+I16+I25</f>
        <v>-238960.75</v>
      </c>
      <c r="J27" s="743">
        <f t="shared" ref="J27:S27" si="26">J8+J12+J14+J16+J25</f>
        <v>-199958.75</v>
      </c>
      <c r="K27" s="743">
        <f t="shared" si="26"/>
        <v>-175958.75</v>
      </c>
      <c r="L27" s="743">
        <f t="shared" si="26"/>
        <v>-31958.75</v>
      </c>
      <c r="M27" s="743">
        <f t="shared" si="26"/>
        <v>-26958.750000000004</v>
      </c>
      <c r="N27" s="743">
        <f t="shared" si="26"/>
        <v>-54885.833333333328</v>
      </c>
      <c r="O27" s="743">
        <f t="shared" si="26"/>
        <v>-53385.833333333328</v>
      </c>
      <c r="P27" s="743">
        <f t="shared" si="26"/>
        <v>-53385.833333333328</v>
      </c>
      <c r="Q27" s="743">
        <f t="shared" si="26"/>
        <v>-53385.833333333328</v>
      </c>
      <c r="R27" s="743">
        <f t="shared" si="26"/>
        <v>-56087.833333333328</v>
      </c>
      <c r="S27" s="743">
        <f t="shared" si="26"/>
        <v>-60587.833333333328</v>
      </c>
      <c r="T27" s="758">
        <f t="shared" si="25"/>
        <v>-1021765.1666666669</v>
      </c>
      <c r="U27" s="743">
        <f t="shared" si="25"/>
        <v>-115647.83333333334</v>
      </c>
      <c r="V27" s="743">
        <f>V8+V12+V14+V16+V25</f>
        <v>-246204.66666666666</v>
      </c>
      <c r="W27" s="743">
        <f t="shared" ref="W27:AF27" si="27">W8+W12+W14+W16+W25</f>
        <v>-312135.32466356107</v>
      </c>
      <c r="X27" s="743">
        <f t="shared" si="27"/>
        <v>232861.31094720511</v>
      </c>
      <c r="Y27" s="743">
        <f t="shared" si="27"/>
        <v>329018.14324534166</v>
      </c>
      <c r="Z27" s="743">
        <f t="shared" si="27"/>
        <v>415341.64221014496</v>
      </c>
      <c r="AA27" s="743">
        <f t="shared" si="27"/>
        <v>448428.42971014493</v>
      </c>
      <c r="AB27" s="743">
        <f t="shared" si="27"/>
        <v>84614.08804347823</v>
      </c>
      <c r="AC27" s="743">
        <f t="shared" si="27"/>
        <v>409334.83804347826</v>
      </c>
      <c r="AD27" s="743">
        <f t="shared" si="27"/>
        <v>469053.58804347838</v>
      </c>
      <c r="AE27" s="743">
        <f t="shared" si="27"/>
        <v>528772.33804347832</v>
      </c>
      <c r="AF27" s="743">
        <f t="shared" si="27"/>
        <v>580883.16443236731</v>
      </c>
      <c r="AG27" s="758">
        <f t="shared" si="25"/>
        <v>2824319.7180555565</v>
      </c>
      <c r="AH27" s="1034">
        <f t="shared" si="25"/>
        <v>10770068.452777773</v>
      </c>
      <c r="AI27" s="1034">
        <f t="shared" ref="AI27:AO27" si="28">AI8+AI12+AI14+AI16+AI25</f>
        <v>22386208.459691666</v>
      </c>
      <c r="AJ27" s="1034">
        <f t="shared" si="28"/>
        <v>39692613.885735065</v>
      </c>
      <c r="AK27" s="1034">
        <f t="shared" si="28"/>
        <v>62948492.77647128</v>
      </c>
      <c r="AL27" s="1034">
        <f t="shared" si="28"/>
        <v>85347081.359063104</v>
      </c>
      <c r="AM27" s="1034">
        <f t="shared" si="28"/>
        <v>102602952.44610687</v>
      </c>
      <c r="AN27" s="1034">
        <f t="shared" si="28"/>
        <v>117840629.02679677</v>
      </c>
      <c r="AO27" s="1034">
        <f t="shared" si="28"/>
        <v>132753664.67125154</v>
      </c>
    </row>
    <row r="28" spans="1:41" s="18" customFormat="1" ht="12.4" customHeight="1" x14ac:dyDescent="0.2">
      <c r="A28" s="748"/>
      <c r="B28" s="748"/>
      <c r="C28" s="740"/>
      <c r="D28" s="740"/>
      <c r="E28" s="740"/>
      <c r="F28" s="740"/>
      <c r="G28" s="301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301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  <c r="AG28" s="301"/>
      <c r="AH28" s="883"/>
      <c r="AI28" s="883"/>
      <c r="AJ28" s="883"/>
      <c r="AK28" s="883"/>
      <c r="AL28" s="883"/>
      <c r="AM28" s="883"/>
      <c r="AN28" s="883"/>
      <c r="AO28" s="883"/>
    </row>
    <row r="29" spans="1:41" s="18" customFormat="1" ht="12.4" customHeight="1" x14ac:dyDescent="0.2">
      <c r="A29" s="741" t="s">
        <v>304</v>
      </c>
      <c r="B29" s="741"/>
      <c r="C29" s="93">
        <f>Balance!B6</f>
        <v>0</v>
      </c>
      <c r="D29" s="93">
        <f>C30</f>
        <v>-1000</v>
      </c>
      <c r="E29" s="93">
        <f t="shared" ref="E29:F29" si="29">D30</f>
        <v>-1000</v>
      </c>
      <c r="F29" s="93">
        <f t="shared" si="29"/>
        <v>1846700</v>
      </c>
      <c r="G29" s="94">
        <f>C29</f>
        <v>0</v>
      </c>
      <c r="H29" s="93">
        <f>F30</f>
        <v>1846700</v>
      </c>
      <c r="I29" s="93">
        <f>H30</f>
        <v>1830449.5833333333</v>
      </c>
      <c r="J29" s="93">
        <f t="shared" ref="J29:AF29" si="30">I30</f>
        <v>1591488.8333333333</v>
      </c>
      <c r="K29" s="93">
        <f t="shared" si="30"/>
        <v>1391530.0833333333</v>
      </c>
      <c r="L29" s="93">
        <f t="shared" si="30"/>
        <v>1215571.3333333333</v>
      </c>
      <c r="M29" s="93">
        <f t="shared" si="30"/>
        <v>1183612.5833333333</v>
      </c>
      <c r="N29" s="93">
        <f t="shared" si="30"/>
        <v>1156653.8333333333</v>
      </c>
      <c r="O29" s="93">
        <f t="shared" si="30"/>
        <v>1101768</v>
      </c>
      <c r="P29" s="93">
        <f t="shared" si="30"/>
        <v>1048382.1666666666</v>
      </c>
      <c r="Q29" s="93">
        <f t="shared" si="30"/>
        <v>994996.33333333326</v>
      </c>
      <c r="R29" s="93">
        <f t="shared" si="30"/>
        <v>941610.49999999988</v>
      </c>
      <c r="S29" s="93">
        <f t="shared" si="30"/>
        <v>885522.66666666651</v>
      </c>
      <c r="T29" s="94">
        <f>H29</f>
        <v>1846700</v>
      </c>
      <c r="U29" s="93">
        <f t="shared" si="30"/>
        <v>824934.83333333314</v>
      </c>
      <c r="V29" s="93">
        <f t="shared" si="30"/>
        <v>709286.99999999977</v>
      </c>
      <c r="W29" s="93">
        <f t="shared" si="30"/>
        <v>463082.33333333314</v>
      </c>
      <c r="X29" s="93">
        <f t="shared" si="30"/>
        <v>150947.00866977207</v>
      </c>
      <c r="Y29" s="93">
        <f t="shared" si="30"/>
        <v>383808.31961697718</v>
      </c>
      <c r="Z29" s="93">
        <f t="shared" si="30"/>
        <v>712826.46286231885</v>
      </c>
      <c r="AA29" s="93">
        <f t="shared" si="30"/>
        <v>1128168.1050724639</v>
      </c>
      <c r="AB29" s="93">
        <f t="shared" si="30"/>
        <v>1576596.5347826087</v>
      </c>
      <c r="AC29" s="93">
        <f t="shared" si="30"/>
        <v>1661210.6228260871</v>
      </c>
      <c r="AD29" s="93">
        <f t="shared" si="30"/>
        <v>2070545.4608695654</v>
      </c>
      <c r="AE29" s="93">
        <f t="shared" si="30"/>
        <v>2539599.0489130439</v>
      </c>
      <c r="AF29" s="93">
        <f t="shared" si="30"/>
        <v>3068371.3869565222</v>
      </c>
      <c r="AG29" s="94">
        <f>U29</f>
        <v>824934.83333333314</v>
      </c>
      <c r="AH29" s="892">
        <f>AF30</f>
        <v>3649254.5513888896</v>
      </c>
      <c r="AI29" s="892">
        <f>AH30</f>
        <v>14419323.004166663</v>
      </c>
      <c r="AJ29" s="892">
        <f t="shared" ref="AJ29:AO29" si="31">AI30</f>
        <v>36805531.463858329</v>
      </c>
      <c r="AK29" s="892">
        <f t="shared" si="31"/>
        <v>76498145.349593401</v>
      </c>
      <c r="AL29" s="892">
        <f t="shared" si="31"/>
        <v>139446638.12606469</v>
      </c>
      <c r="AM29" s="892">
        <f t="shared" si="31"/>
        <v>224793719.48512781</v>
      </c>
      <c r="AN29" s="892">
        <f t="shared" si="31"/>
        <v>327396671.93123466</v>
      </c>
      <c r="AO29" s="892">
        <f t="shared" si="31"/>
        <v>445237300.95803142</v>
      </c>
    </row>
    <row r="30" spans="1:41" s="18" customFormat="1" ht="12.4" customHeight="1" x14ac:dyDescent="0.2">
      <c r="A30" s="741" t="s">
        <v>305</v>
      </c>
      <c r="B30" s="741"/>
      <c r="C30" s="93">
        <f>C29+C27</f>
        <v>-1000</v>
      </c>
      <c r="D30" s="93">
        <f>D29+D27</f>
        <v>-1000</v>
      </c>
      <c r="E30" s="93">
        <f t="shared" ref="E30:F30" si="32">E29+E27</f>
        <v>1846700</v>
      </c>
      <c r="F30" s="93">
        <f t="shared" si="32"/>
        <v>1846700</v>
      </c>
      <c r="G30" s="94">
        <f>F30</f>
        <v>1846700</v>
      </c>
      <c r="H30" s="93">
        <f>H29+H27</f>
        <v>1830449.5833333333</v>
      </c>
      <c r="I30" s="93">
        <f>I29+I27</f>
        <v>1591488.8333333333</v>
      </c>
      <c r="J30" s="93">
        <f t="shared" ref="J30:U30" si="33">J29+J27</f>
        <v>1391530.0833333333</v>
      </c>
      <c r="K30" s="93">
        <f t="shared" si="33"/>
        <v>1215571.3333333333</v>
      </c>
      <c r="L30" s="93">
        <f t="shared" si="33"/>
        <v>1183612.5833333333</v>
      </c>
      <c r="M30" s="93">
        <f t="shared" si="33"/>
        <v>1156653.8333333333</v>
      </c>
      <c r="N30" s="93">
        <f t="shared" si="33"/>
        <v>1101768</v>
      </c>
      <c r="O30" s="93">
        <f t="shared" si="33"/>
        <v>1048382.1666666666</v>
      </c>
      <c r="P30" s="93">
        <f t="shared" si="33"/>
        <v>994996.33333333326</v>
      </c>
      <c r="Q30" s="93">
        <f t="shared" si="33"/>
        <v>941610.49999999988</v>
      </c>
      <c r="R30" s="93">
        <f t="shared" si="33"/>
        <v>885522.66666666651</v>
      </c>
      <c r="S30" s="93">
        <f t="shared" si="33"/>
        <v>824934.83333333314</v>
      </c>
      <c r="T30" s="94">
        <f>S30</f>
        <v>824934.83333333314</v>
      </c>
      <c r="U30" s="93">
        <f t="shared" si="33"/>
        <v>709286.99999999977</v>
      </c>
      <c r="V30" s="93">
        <f>V29+V27</f>
        <v>463082.33333333314</v>
      </c>
      <c r="W30" s="93">
        <f t="shared" ref="W30" si="34">W29+W27</f>
        <v>150947.00866977207</v>
      </c>
      <c r="X30" s="93">
        <f t="shared" ref="X30" si="35">X29+X27</f>
        <v>383808.31961697718</v>
      </c>
      <c r="Y30" s="93">
        <f t="shared" ref="Y30" si="36">Y29+Y27</f>
        <v>712826.46286231885</v>
      </c>
      <c r="Z30" s="93">
        <f t="shared" ref="Z30" si="37">Z29+Z27</f>
        <v>1128168.1050724639</v>
      </c>
      <c r="AA30" s="93">
        <f t="shared" ref="AA30" si="38">AA29+AA27</f>
        <v>1576596.5347826087</v>
      </c>
      <c r="AB30" s="93">
        <f t="shared" ref="AB30" si="39">AB29+AB27</f>
        <v>1661210.6228260871</v>
      </c>
      <c r="AC30" s="93">
        <f t="shared" ref="AC30" si="40">AC29+AC27</f>
        <v>2070545.4608695654</v>
      </c>
      <c r="AD30" s="93">
        <f t="shared" ref="AD30" si="41">AD29+AD27</f>
        <v>2539599.0489130439</v>
      </c>
      <c r="AE30" s="93">
        <f t="shared" ref="AE30" si="42">AE29+AE27</f>
        <v>3068371.3869565222</v>
      </c>
      <c r="AF30" s="93">
        <f t="shared" ref="AF30" si="43">AF29+AF27</f>
        <v>3649254.5513888896</v>
      </c>
      <c r="AG30" s="94">
        <f>AF30</f>
        <v>3649254.5513888896</v>
      </c>
      <c r="AH30" s="892">
        <f t="shared" ref="AH30" si="44">AH29+AH27</f>
        <v>14419323.004166663</v>
      </c>
      <c r="AI30" s="892">
        <f>AI29+AI27</f>
        <v>36805531.463858329</v>
      </c>
      <c r="AJ30" s="892">
        <f t="shared" ref="AJ30:AO30" si="45">AJ29+AJ27</f>
        <v>76498145.349593401</v>
      </c>
      <c r="AK30" s="892">
        <f t="shared" si="45"/>
        <v>139446638.12606469</v>
      </c>
      <c r="AL30" s="892">
        <f t="shared" si="45"/>
        <v>224793719.48512781</v>
      </c>
      <c r="AM30" s="892">
        <f t="shared" si="45"/>
        <v>327396671.93123466</v>
      </c>
      <c r="AN30" s="892">
        <f t="shared" si="45"/>
        <v>445237300.95803142</v>
      </c>
      <c r="AO30" s="892">
        <f t="shared" si="45"/>
        <v>577990965.62928295</v>
      </c>
    </row>
    <row r="31" spans="1:41" s="18" customFormat="1" ht="12.4" customHeight="1" x14ac:dyDescent="0.2">
      <c r="A31" s="739"/>
      <c r="B31" s="785"/>
      <c r="C31" s="785"/>
      <c r="D31" s="785"/>
      <c r="E31" s="785"/>
      <c r="F31" s="785"/>
      <c r="G31" s="241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301"/>
      <c r="U31" s="740"/>
      <c r="V31" s="740"/>
      <c r="W31" s="740"/>
      <c r="X31" s="740"/>
      <c r="Y31" s="740"/>
      <c r="Z31" s="740"/>
      <c r="AA31" s="740"/>
      <c r="AB31" s="740"/>
      <c r="AC31" s="740"/>
      <c r="AD31" s="740"/>
      <c r="AE31" s="740"/>
      <c r="AF31" s="740"/>
      <c r="AG31" s="301"/>
      <c r="AH31" s="883"/>
      <c r="AI31" s="883"/>
      <c r="AJ31" s="883"/>
      <c r="AK31" s="883"/>
      <c r="AL31" s="883"/>
      <c r="AM31" s="883"/>
      <c r="AN31" s="883"/>
      <c r="AO31" s="883"/>
    </row>
    <row r="32" spans="1:41" s="18" customFormat="1" ht="12.4" customHeight="1" x14ac:dyDescent="0.2">
      <c r="A32" s="739"/>
      <c r="B32" s="785"/>
      <c r="C32" s="785"/>
      <c r="D32" s="785"/>
      <c r="E32" s="785"/>
      <c r="F32" s="785"/>
      <c r="G32" s="116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300"/>
      <c r="U32" s="740"/>
      <c r="V32" s="740"/>
      <c r="W32" s="740"/>
      <c r="X32" s="740"/>
      <c r="Y32" s="740"/>
      <c r="Z32" s="740"/>
      <c r="AA32" s="740"/>
      <c r="AB32" s="740"/>
      <c r="AC32" s="740"/>
      <c r="AD32" s="740"/>
      <c r="AE32" s="740"/>
      <c r="AF32" s="740"/>
      <c r="AG32" s="300"/>
      <c r="AH32" s="300"/>
      <c r="AI32" s="300"/>
      <c r="AJ32" s="300"/>
      <c r="AK32" s="300"/>
      <c r="AL32" s="300"/>
      <c r="AM32" s="300"/>
      <c r="AN32" s="300"/>
      <c r="AO32" s="300"/>
    </row>
    <row r="33" spans="1:42" s="18" customFormat="1" ht="12.4" customHeight="1" x14ac:dyDescent="0.2">
      <c r="A33" s="739"/>
      <c r="B33" s="785"/>
      <c r="C33" s="785"/>
      <c r="D33" s="785"/>
      <c r="E33" s="785"/>
      <c r="F33" s="785"/>
      <c r="G33" s="116"/>
      <c r="H33" s="871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300"/>
      <c r="U33" s="740"/>
      <c r="V33" s="740"/>
      <c r="W33" s="740"/>
      <c r="X33" s="740"/>
      <c r="Y33" s="740"/>
      <c r="Z33" s="740"/>
      <c r="AA33" s="740"/>
      <c r="AB33" s="740"/>
      <c r="AC33" s="740"/>
      <c r="AD33" s="740"/>
      <c r="AE33" s="740"/>
      <c r="AF33" s="740"/>
      <c r="AG33" s="300"/>
      <c r="AH33" s="300"/>
      <c r="AI33" s="300"/>
      <c r="AJ33" s="300"/>
      <c r="AK33" s="300"/>
      <c r="AL33" s="300"/>
      <c r="AM33" s="300"/>
      <c r="AN33" s="300"/>
      <c r="AO33" s="300"/>
    </row>
    <row r="34" spans="1:42" ht="12.4" customHeight="1" x14ac:dyDescent="0.2">
      <c r="E34" s="1044" t="s">
        <v>524</v>
      </c>
      <c r="F34" s="1044"/>
      <c r="G34" s="1044"/>
      <c r="H34" s="32"/>
      <c r="I34" s="3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2"/>
      <c r="U34" s="32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2.4" customHeight="1" x14ac:dyDescent="0.2">
      <c r="E35" s="1044"/>
      <c r="F35" s="1044"/>
      <c r="G35" s="1044"/>
      <c r="H35" s="32"/>
      <c r="I35" s="3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32"/>
      <c r="U35" s="32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2.4" customHeight="1" x14ac:dyDescent="0.2">
      <c r="E36" s="1044"/>
      <c r="F36" s="1044"/>
      <c r="G36" s="1044"/>
      <c r="I36" s="49"/>
      <c r="T36"/>
      <c r="V36" s="49"/>
    </row>
    <row r="37" spans="1:42" ht="12.4" customHeight="1" x14ac:dyDescent="0.2">
      <c r="E37" s="1044"/>
      <c r="F37" s="1044"/>
      <c r="G37" s="1044"/>
    </row>
    <row r="38" spans="1:42" ht="12.4" customHeight="1" x14ac:dyDescent="0.2">
      <c r="E38" s="1044"/>
      <c r="F38" s="1044"/>
      <c r="G38" s="1044"/>
    </row>
    <row r="39" spans="1:42" ht="12.4" customHeight="1" x14ac:dyDescent="0.2">
      <c r="E39" s="1044"/>
      <c r="F39" s="1044"/>
      <c r="G39" s="1044"/>
    </row>
    <row r="40" spans="1:42" ht="12.4" customHeight="1" x14ac:dyDescent="0.2">
      <c r="H40"/>
    </row>
    <row r="41" spans="1:42" ht="12.4" customHeight="1" x14ac:dyDescent="0.2">
      <c r="H41"/>
    </row>
  </sheetData>
  <mergeCells count="1">
    <mergeCell ref="E34:G39"/>
  </mergeCells>
  <pageMargins left="0.23622047244094491" right="0.23622047244094491" top="0.74803149606299213" bottom="0.74803149606299213" header="0.31496062992125984" footer="0.31496062992125984"/>
  <pageSetup scale="17" fitToHeight="0" orientation="landscape" horizontalDpi="4294967292" verticalDpi="96" r:id="rId1"/>
  <headerFooter alignWithMargins="0">
    <oddHeader>&amp;LCash Flow $2mm&amp;RDoc 2</oddHeader>
  </headerFooter>
  <colBreaks count="1" manualBreakCount="1">
    <brk id="36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85" zoomScaleNormal="85" workbookViewId="0">
      <selection activeCell="C36" sqref="C36"/>
    </sheetView>
  </sheetViews>
  <sheetFormatPr defaultRowHeight="12.75" outlineLevelRow="1" x14ac:dyDescent="0.2"/>
  <cols>
    <col min="1" max="1" width="63.375" bestFit="1" customWidth="1"/>
    <col min="2" max="2" width="21.875" customWidth="1"/>
    <col min="5" max="5" width="9.875" bestFit="1" customWidth="1"/>
    <col min="6" max="6" width="11.5" bestFit="1" customWidth="1"/>
  </cols>
  <sheetData>
    <row r="1" spans="1:2" ht="20.25" thickBot="1" x14ac:dyDescent="0.45">
      <c r="A1" s="261" t="s">
        <v>480</v>
      </c>
      <c r="B1" s="262"/>
    </row>
    <row r="2" spans="1:2" ht="19.5" x14ac:dyDescent="0.4">
      <c r="A2" s="263"/>
      <c r="B2" s="264"/>
    </row>
    <row r="3" spans="1:2" ht="15.75" thickBot="1" x14ac:dyDescent="0.25">
      <c r="A3" s="25" t="s">
        <v>37</v>
      </c>
      <c r="B3" s="265"/>
    </row>
    <row r="4" spans="1:2" x14ac:dyDescent="0.2">
      <c r="A4" s="221"/>
      <c r="B4" s="266"/>
    </row>
    <row r="5" spans="1:2" ht="15.75" thickBot="1" x14ac:dyDescent="0.25">
      <c r="A5" s="25" t="s">
        <v>101</v>
      </c>
      <c r="B5" s="27"/>
    </row>
    <row r="6" spans="1:2" outlineLevel="1" x14ac:dyDescent="0.2">
      <c r="A6" s="844" t="s">
        <v>502</v>
      </c>
      <c r="B6" s="849">
        <f>'P&amp;L'!G26+'P&amp;L'!T26+SUM('P&amp;L'!U26:W26)</f>
        <v>526000</v>
      </c>
    </row>
    <row r="7" spans="1:2" x14ac:dyDescent="0.2">
      <c r="A7" s="492" t="s">
        <v>88</v>
      </c>
      <c r="B7" s="982">
        <f>B6</f>
        <v>526000</v>
      </c>
    </row>
    <row r="8" spans="1:2" outlineLevel="1" x14ac:dyDescent="0.2">
      <c r="A8" s="492"/>
      <c r="B8" s="30"/>
    </row>
    <row r="9" spans="1:2" outlineLevel="1" x14ac:dyDescent="0.2">
      <c r="A9" s="844" t="s">
        <v>503</v>
      </c>
      <c r="B9" s="983">
        <f>'P&amp;L'!G27+'P&amp;L'!T27+SUM('P&amp;L'!U27:W27)</f>
        <v>26300</v>
      </c>
    </row>
    <row r="10" spans="1:2" x14ac:dyDescent="0.2">
      <c r="A10" s="981" t="s">
        <v>501</v>
      </c>
      <c r="B10" s="30">
        <f>B9</f>
        <v>26300</v>
      </c>
    </row>
    <row r="11" spans="1:2" outlineLevel="1" x14ac:dyDescent="0.2">
      <c r="A11" s="492"/>
      <c r="B11" s="30"/>
    </row>
    <row r="12" spans="1:2" outlineLevel="1" x14ac:dyDescent="0.2">
      <c r="A12" s="845" t="s">
        <v>504</v>
      </c>
      <c r="B12" s="848">
        <f>Calculations!T107+SUM(Calculations!U107:W107)</f>
        <v>57634.5</v>
      </c>
    </row>
    <row r="13" spans="1:2" x14ac:dyDescent="0.2">
      <c r="A13" s="491" t="s">
        <v>228</v>
      </c>
      <c r="B13" s="30">
        <f>B12</f>
        <v>57634.5</v>
      </c>
    </row>
    <row r="14" spans="1:2" outlineLevel="1" x14ac:dyDescent="0.2">
      <c r="A14" s="491"/>
      <c r="B14" s="30"/>
    </row>
    <row r="15" spans="1:2" outlineLevel="1" x14ac:dyDescent="0.2">
      <c r="A15" s="845" t="s">
        <v>521</v>
      </c>
      <c r="B15" s="847">
        <f>'P&amp;L'!T17+SUM('P&amp;L'!U17:W17)</f>
        <v>75000</v>
      </c>
    </row>
    <row r="16" spans="1:2" outlineLevel="1" x14ac:dyDescent="0.2">
      <c r="A16" s="845" t="s">
        <v>523</v>
      </c>
      <c r="B16" s="847">
        <f>'P&amp;L'!T16+SUM('P&amp;L'!U16:W16)</f>
        <v>170000</v>
      </c>
    </row>
    <row r="17" spans="1:6" outlineLevel="1" x14ac:dyDescent="0.2">
      <c r="A17" s="844" t="s">
        <v>522</v>
      </c>
      <c r="B17" s="847">
        <f>'P&amp;L'!T19+SUM('P&amp;L'!U19:W19)</f>
        <v>100000</v>
      </c>
    </row>
    <row r="18" spans="1:6" s="846" customFormat="1" outlineLevel="1" x14ac:dyDescent="0.2">
      <c r="A18" s="844" t="s">
        <v>505</v>
      </c>
      <c r="B18" s="847">
        <f>'P&amp;L'!T18+SUM('P&amp;L'!U18:W18)</f>
        <v>175000</v>
      </c>
    </row>
    <row r="19" spans="1:6" outlineLevel="1" x14ac:dyDescent="0.2">
      <c r="A19" s="844" t="s">
        <v>506</v>
      </c>
      <c r="B19" s="847">
        <f>'P&amp;L'!T20+SUM('P&amp;L'!U20:W20)</f>
        <v>39780</v>
      </c>
    </row>
    <row r="20" spans="1:6" outlineLevel="1" x14ac:dyDescent="0.2">
      <c r="A20" s="844" t="s">
        <v>507</v>
      </c>
      <c r="B20" s="848">
        <f>'P&amp;L'!T21+SUM('P&amp;L'!U20:W20)</f>
        <v>50545.833333333336</v>
      </c>
    </row>
    <row r="21" spans="1:6" x14ac:dyDescent="0.2">
      <c r="A21" s="491" t="s">
        <v>481</v>
      </c>
      <c r="B21" s="814">
        <f>SUM(B15:B20)</f>
        <v>610325.83333333337</v>
      </c>
    </row>
    <row r="22" spans="1:6" outlineLevel="1" x14ac:dyDescent="0.2">
      <c r="A22" s="491"/>
      <c r="B22" s="814"/>
    </row>
    <row r="23" spans="1:6" outlineLevel="1" x14ac:dyDescent="0.2">
      <c r="A23" s="845" t="s">
        <v>179</v>
      </c>
      <c r="B23" s="1038">
        <v>150000</v>
      </c>
    </row>
    <row r="24" spans="1:6" outlineLevel="1" x14ac:dyDescent="0.2">
      <c r="A24" s="845" t="s">
        <v>346</v>
      </c>
      <c r="B24" s="848">
        <f>'P&amp;L'!T32+SUM('P&amp;L'!U32:W32)+155000</f>
        <v>200000</v>
      </c>
    </row>
    <row r="25" spans="1:6" x14ac:dyDescent="0.2">
      <c r="A25" s="491" t="s">
        <v>342</v>
      </c>
      <c r="B25" s="814">
        <f>SUM(B23:B24)</f>
        <v>350000</v>
      </c>
    </row>
    <row r="26" spans="1:6" outlineLevel="1" x14ac:dyDescent="0.2">
      <c r="A26" s="29"/>
      <c r="B26" s="31"/>
    </row>
    <row r="27" spans="1:6" outlineLevel="1" x14ac:dyDescent="0.2">
      <c r="A27" s="845" t="s">
        <v>508</v>
      </c>
      <c r="B27" s="847">
        <f>'P&amp;L'!T33+SUM('P&amp;L'!U33:'P&amp;L'!W33)</f>
        <v>12500</v>
      </c>
      <c r="F27" s="850"/>
    </row>
    <row r="28" spans="1:6" outlineLevel="1" x14ac:dyDescent="0.2">
      <c r="A28" s="845" t="s">
        <v>509</v>
      </c>
      <c r="B28" s="847">
        <f>'P&amp;L'!T30+SUM('P&amp;L'!U30:W30)</f>
        <v>13062.5</v>
      </c>
    </row>
    <row r="29" spans="1:6" outlineLevel="1" x14ac:dyDescent="0.2">
      <c r="A29" s="845" t="s">
        <v>510</v>
      </c>
      <c r="B29" s="847">
        <f>'P&amp;L'!T23+SUM('P&amp;L'!U23:W23)</f>
        <v>53125</v>
      </c>
    </row>
    <row r="30" spans="1:6" outlineLevel="1" x14ac:dyDescent="0.2">
      <c r="A30" s="845" t="s">
        <v>511</v>
      </c>
      <c r="B30" s="847">
        <f>'P&amp;L'!T29+SUM('P&amp;L'!U29:W29)</f>
        <v>3937.5</v>
      </c>
    </row>
    <row r="31" spans="1:6" outlineLevel="1" x14ac:dyDescent="0.2">
      <c r="A31" s="845" t="s">
        <v>512</v>
      </c>
      <c r="B31" s="847">
        <f>'P&amp;L'!T22+SUM('P&amp;L'!U22:W22)</f>
        <v>92250</v>
      </c>
    </row>
    <row r="32" spans="1:6" outlineLevel="1" x14ac:dyDescent="0.2">
      <c r="A32" s="845" t="s">
        <v>513</v>
      </c>
      <c r="B32" s="847">
        <f>'P&amp;L'!T24+SUM('P&amp;L'!U24:W24)</f>
        <v>15750</v>
      </c>
    </row>
    <row r="33" spans="1:5" outlineLevel="1" x14ac:dyDescent="0.2">
      <c r="A33" s="845" t="s">
        <v>514</v>
      </c>
      <c r="B33" s="847">
        <f>'P&amp;L'!T25+SUM('P&amp;L'!U25:W25)</f>
        <v>10500</v>
      </c>
    </row>
    <row r="34" spans="1:5" outlineLevel="1" x14ac:dyDescent="0.2">
      <c r="A34" s="844" t="s">
        <v>515</v>
      </c>
      <c r="B34" s="847">
        <f>'P&amp;L'!T34+SUM('P&amp;L'!U34:W34)</f>
        <v>18750.000000000004</v>
      </c>
    </row>
    <row r="35" spans="1:5" outlineLevel="1" x14ac:dyDescent="0.2">
      <c r="A35" s="844" t="s">
        <v>516</v>
      </c>
      <c r="B35" s="848">
        <f>'P&amp;L'!T35+SUM('P&amp;L'!U35:W35)</f>
        <v>8333.3333333333339</v>
      </c>
    </row>
    <row r="36" spans="1:5" x14ac:dyDescent="0.2">
      <c r="A36" s="491" t="s">
        <v>517</v>
      </c>
      <c r="B36" s="814">
        <f>SUM(B27:B35)</f>
        <v>228208.33333333334</v>
      </c>
    </row>
    <row r="37" spans="1:5" outlineLevel="1" x14ac:dyDescent="0.2">
      <c r="A37" s="491"/>
      <c r="B37" s="814"/>
    </row>
    <row r="38" spans="1:5" ht="13.5" thickBot="1" x14ac:dyDescent="0.25">
      <c r="A38" s="486" t="s">
        <v>69</v>
      </c>
      <c r="B38" s="489">
        <v>200000</v>
      </c>
    </row>
    <row r="39" spans="1:5" x14ac:dyDescent="0.2">
      <c r="A39" s="221" t="s">
        <v>215</v>
      </c>
      <c r="B39" s="309">
        <f>B7+B13+B21+B25+B36+B38+B10</f>
        <v>1998468.6666666667</v>
      </c>
    </row>
    <row r="40" spans="1:5" ht="13.5" thickBot="1" x14ac:dyDescent="0.25">
      <c r="A40" s="39"/>
      <c r="B40" s="269"/>
      <c r="E40" s="850"/>
    </row>
    <row r="41" spans="1:5" ht="15.75" thickBot="1" x14ac:dyDescent="0.25">
      <c r="A41" s="25" t="s">
        <v>518</v>
      </c>
      <c r="B41" s="27"/>
    </row>
    <row r="42" spans="1:5" x14ac:dyDescent="0.2">
      <c r="A42" s="491" t="s">
        <v>225</v>
      </c>
      <c r="B42" s="484">
        <v>0</v>
      </c>
    </row>
    <row r="43" spans="1:5" x14ac:dyDescent="0.2">
      <c r="A43" s="491" t="s">
        <v>519</v>
      </c>
      <c r="B43" s="484">
        <v>0</v>
      </c>
    </row>
    <row r="44" spans="1:5" ht="13.5" thickBot="1" x14ac:dyDescent="0.25">
      <c r="A44" s="486" t="s">
        <v>153</v>
      </c>
      <c r="B44" s="489">
        <v>0</v>
      </c>
    </row>
    <row r="45" spans="1:5" ht="13.5" thickBot="1" x14ac:dyDescent="0.25">
      <c r="A45" s="39" t="s">
        <v>520</v>
      </c>
      <c r="B45" s="1035">
        <f>SUM(B42:B44)</f>
        <v>0</v>
      </c>
    </row>
    <row r="46" spans="1:5" ht="13.5" thickBot="1" x14ac:dyDescent="0.25">
      <c r="A46" s="29"/>
      <c r="B46" s="986"/>
    </row>
    <row r="47" spans="1:5" ht="15" x14ac:dyDescent="0.2">
      <c r="A47" s="48" t="s">
        <v>27</v>
      </c>
      <c r="B47" s="270">
        <f>B45+B39</f>
        <v>1998468.6666666667</v>
      </c>
    </row>
  </sheetData>
  <pageMargins left="0.70866141732283472" right="0.70866141732283472" top="0.74803149606299213" bottom="0.74803149606299213" header="0.31496062992125984" footer="0.31496062992125984"/>
  <pageSetup paperSize="9" scale="110" orientation="portrait" r:id="rId1"/>
  <headerFooter>
    <oddHeader>&amp;LUse of Funds $2mUSD&amp;CAttributed as in Business Plan&amp;RDoc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showGridLines="0" workbookViewId="0">
      <pane xSplit="1" ySplit="2" topLeftCell="B3" activePane="bottomRight" state="frozenSplit"/>
      <selection pane="topRight"/>
      <selection pane="bottomLeft"/>
      <selection pane="bottomRight" activeCell="E27" sqref="E27"/>
    </sheetView>
  </sheetViews>
  <sheetFormatPr defaultColWidth="0" defaultRowHeight="12.4" customHeight="1" outlineLevelCol="1" x14ac:dyDescent="0.2"/>
  <cols>
    <col min="1" max="1" width="38.5" style="1" customWidth="1"/>
    <col min="2" max="2" width="16.875" style="1" customWidth="1"/>
    <col min="3" max="6" width="13.625" style="1" customWidth="1"/>
    <col min="7" max="7" width="14.25" style="1" customWidth="1"/>
    <col min="8" max="8" width="14.375" style="1" bestFit="1" customWidth="1" outlineLevel="1"/>
    <col min="9" max="10" width="14.625" style="1" customWidth="1" outlineLevel="1"/>
    <col min="11" max="11" width="15.25" style="1" customWidth="1" outlineLevel="1"/>
    <col min="12" max="12" width="14.625" style="1" customWidth="1" outlineLevel="1"/>
    <col min="13" max="13" width="11.75" style="1" customWidth="1"/>
    <col min="14" max="16" width="28.75" style="1" hidden="1" customWidth="1"/>
    <col min="17" max="19" width="0" style="1" hidden="1" customWidth="1"/>
    <col min="20" max="20" width="13.625" style="1" hidden="1" customWidth="1"/>
    <col min="21" max="22" width="14.625" style="1" hidden="1" customWidth="1"/>
    <col min="23" max="23" width="15.25" style="1" hidden="1" customWidth="1"/>
    <col min="24" max="24" width="14.625" style="1" hidden="1" customWidth="1"/>
    <col min="25" max="25" width="0" style="1" hidden="1" customWidth="1"/>
    <col min="26" max="28" width="28.75" style="1" hidden="1" customWidth="1"/>
    <col min="29" max="31" width="0" style="1" hidden="1" customWidth="1"/>
    <col min="32" max="32" width="13.625" style="1" hidden="1" customWidth="1"/>
    <col min="33" max="34" width="14.625" style="1" hidden="1" customWidth="1"/>
    <col min="35" max="35" width="15.25" style="1" hidden="1" customWidth="1"/>
    <col min="36" max="36" width="14.625" style="1" hidden="1" customWidth="1"/>
    <col min="37" max="37" width="0" style="1" hidden="1" customWidth="1"/>
    <col min="38" max="40" width="28.75" style="1" hidden="1" customWidth="1"/>
    <col min="41" max="16384" width="9" style="1" hidden="1"/>
  </cols>
  <sheetData>
    <row r="1" spans="1:14" s="75" customFormat="1" ht="16.149999999999999" customHeight="1" x14ac:dyDescent="0.2">
      <c r="A1" s="2" t="s">
        <v>351</v>
      </c>
      <c r="B1" s="316"/>
      <c r="C1" s="317"/>
      <c r="D1" s="317"/>
      <c r="E1" s="317"/>
      <c r="F1" s="316"/>
      <c r="G1" s="317"/>
      <c r="H1" s="317"/>
      <c r="I1" s="317"/>
      <c r="J1" s="317"/>
      <c r="K1" s="317"/>
      <c r="L1" s="316"/>
      <c r="M1" s="32"/>
      <c r="N1"/>
    </row>
    <row r="2" spans="1:14" ht="12.4" customHeight="1" x14ac:dyDescent="0.2">
      <c r="A2" s="675"/>
      <c r="B2" s="738"/>
      <c r="C2" s="471">
        <f>'Sales and COGS Forecasts'!T2</f>
        <v>2013</v>
      </c>
      <c r="D2" s="471">
        <f>'Sales and COGS Forecasts'!AG2</f>
        <v>2014</v>
      </c>
      <c r="E2" s="471">
        <f>'Sales and COGS Forecasts'!AH2</f>
        <v>2015</v>
      </c>
      <c r="F2" s="471">
        <f>'Sales and COGS Forecasts'!AI2</f>
        <v>2016</v>
      </c>
      <c r="G2" s="471">
        <f>'Sales and COGS Forecasts'!AJ2</f>
        <v>2017</v>
      </c>
      <c r="H2" s="471">
        <f>'Sales and COGS Forecasts'!AK2</f>
        <v>2018</v>
      </c>
      <c r="I2" s="471">
        <f>'Sales and COGS Forecasts'!AL2</f>
        <v>2019</v>
      </c>
      <c r="J2" s="471">
        <f>'Sales and COGS Forecasts'!AM2</f>
        <v>2020</v>
      </c>
      <c r="K2" s="471">
        <f>'Sales and COGS Forecasts'!AN2</f>
        <v>2021</v>
      </c>
      <c r="L2" s="470">
        <f>'Sales and COGS Forecasts'!AO2</f>
        <v>2022</v>
      </c>
      <c r="M2" s="32"/>
      <c r="N2"/>
    </row>
    <row r="3" spans="1:14" s="18" customFormat="1" ht="12.4" customHeight="1" x14ac:dyDescent="0.2">
      <c r="A3" s="739"/>
      <c r="B3" s="116"/>
      <c r="C3" s="301"/>
      <c r="D3" s="301"/>
      <c r="E3" s="301"/>
      <c r="F3" s="300"/>
      <c r="G3" s="301"/>
      <c r="H3" s="301"/>
      <c r="I3" s="301"/>
      <c r="J3" s="301"/>
      <c r="K3" s="301"/>
      <c r="L3" s="883"/>
    </row>
    <row r="4" spans="1:14" s="18" customFormat="1" ht="12.4" customHeight="1" x14ac:dyDescent="0.2">
      <c r="A4" s="739" t="s">
        <v>209</v>
      </c>
      <c r="B4" s="116"/>
      <c r="C4" s="93">
        <f>'P&amp;L'!T39</f>
        <v>-1036508.8333333333</v>
      </c>
      <c r="D4" s="93">
        <f>'P&amp;L'!AG39</f>
        <v>5727254.5</v>
      </c>
      <c r="E4" s="93">
        <f>'P&amp;L'!AH39</f>
        <v>19331181.687499996</v>
      </c>
      <c r="F4" s="93">
        <f>'P&amp;L'!AI39</f>
        <v>38882143.297249995</v>
      </c>
      <c r="G4" s="93">
        <f>'P&amp;L'!AJ39</f>
        <v>67536417.457001209</v>
      </c>
      <c r="H4" s="93">
        <f>'P&amp;L'!AK39</f>
        <v>105340119.89618382</v>
      </c>
      <c r="I4" s="93">
        <f>'P&amp;L'!AL39</f>
        <v>138850789.516518</v>
      </c>
      <c r="J4" s="93">
        <f>'P&amp;L'!AM39</f>
        <v>163418455.68769026</v>
      </c>
      <c r="K4" s="93">
        <f>'P&amp;L'!AN39</f>
        <v>186548530.48987395</v>
      </c>
      <c r="L4" s="93">
        <f>'P&amp;L'!AO39</f>
        <v>209450096.98073551</v>
      </c>
    </row>
    <row r="5" spans="1:14" s="18" customFormat="1" ht="12.4" customHeight="1" x14ac:dyDescent="0.2">
      <c r="A5" s="741" t="s">
        <v>294</v>
      </c>
      <c r="B5" s="116"/>
      <c r="C5" s="93">
        <f>'Cash Flow'!T5</f>
        <v>0</v>
      </c>
      <c r="D5" s="93">
        <f>'Cash Flow'!AG5</f>
        <v>-883671.875</v>
      </c>
      <c r="E5" s="93">
        <f>Balance!AF7-Balance!AH7</f>
        <v>-1810776.5624999995</v>
      </c>
      <c r="F5" s="93">
        <f>Balance!AH7-Balance!AI7</f>
        <v>-2450044.0987500004</v>
      </c>
      <c r="G5" s="93">
        <f>Balance!AI7-Balance!AJ7</f>
        <v>-3570570.896006248</v>
      </c>
      <c r="H5" s="93">
        <f>Balance!AJ7-Balance!AK7</f>
        <v>-4678721.5722326301</v>
      </c>
      <c r="I5" s="93">
        <f>Balance!AK7-Balance!AL7</f>
        <v>-4161060.3832915202</v>
      </c>
      <c r="J5" s="93">
        <f>Balance!AL7-Balance!AM7</f>
        <v>-3077784.8065882623</v>
      </c>
      <c r="K5" s="93">
        <f>Balance!AM7-Balance!AN7</f>
        <v>-2911127.4495453201</v>
      </c>
      <c r="L5" s="93">
        <f>Balance!AN7-Balance!AO7</f>
        <v>-2895177.3173095435</v>
      </c>
    </row>
    <row r="6" spans="1:14" s="18" customFormat="1" ht="12.4" customHeight="1" x14ac:dyDescent="0.2">
      <c r="A6" s="741" t="s">
        <v>297</v>
      </c>
      <c r="B6" s="116"/>
      <c r="C6" s="93">
        <f>'Cash Flow'!T6</f>
        <v>0</v>
      </c>
      <c r="D6" s="93">
        <f>'Cash Flow'!AG6</f>
        <v>-441835.9375</v>
      </c>
      <c r="E6" s="93">
        <f>Balance!AF8-Balance!AH8</f>
        <v>-905388.28124999977</v>
      </c>
      <c r="F6" s="93">
        <f>Balance!AH8-Balance!AI8</f>
        <v>-1225022.0493750002</v>
      </c>
      <c r="G6" s="93">
        <f>Balance!AI8-Balance!AJ8</f>
        <v>-1785285.448003124</v>
      </c>
      <c r="H6" s="93">
        <f>Balance!AJ8-Balance!AK8</f>
        <v>-2339360.7861163151</v>
      </c>
      <c r="I6" s="93">
        <f>Balance!AK8-Balance!AL8</f>
        <v>-2080530.1916457601</v>
      </c>
      <c r="J6" s="93">
        <f>Balance!AL8-Balance!AM8</f>
        <v>-1538892.4032941312</v>
      </c>
      <c r="K6" s="93">
        <f>Balance!AM8-Balance!AN8</f>
        <v>-1455563.7247726601</v>
      </c>
      <c r="L6" s="93">
        <f>Balance!AN8-Balance!AO8</f>
        <v>-1447588.6586547717</v>
      </c>
    </row>
    <row r="7" spans="1:14" s="18" customFormat="1" ht="12.4" customHeight="1" x14ac:dyDescent="0.2">
      <c r="A7" s="741" t="s">
        <v>295</v>
      </c>
      <c r="B7" s="116"/>
      <c r="C7" s="93">
        <f>'Cash Flow'!T7</f>
        <v>18743.666666666657</v>
      </c>
      <c r="D7" s="93">
        <f>'Cash Flow'!AG7</f>
        <v>10389.013888888934</v>
      </c>
      <c r="E7" s="93">
        <f>Balance!AH19-Balance!AF19</f>
        <v>923915.19965277787</v>
      </c>
      <c r="F7" s="93">
        <f>Balance!AI19-Balance!AH19</f>
        <v>790551.46460416645</v>
      </c>
      <c r="G7" s="93">
        <f>Balance!AJ19-Balance!AI19</f>
        <v>1152468.8826936474</v>
      </c>
      <c r="H7" s="93">
        <f>Balance!AK19-Balance!AJ19</f>
        <v>1498167.2023007465</v>
      </c>
      <c r="I7" s="93">
        <f>Balance!AL19-Balance!AK19</f>
        <v>1338258.7482636711</v>
      </c>
      <c r="J7" s="93">
        <f>Balance!AM19-Balance!AL19</f>
        <v>1000233.4589905785</v>
      </c>
      <c r="K7" s="93">
        <f>Balance!AN19-Balance!AM19</f>
        <v>953375.38269667421</v>
      </c>
      <c r="L7" s="93">
        <f>Balance!AO19-Balance!AN19</f>
        <v>956467.60973774549</v>
      </c>
    </row>
    <row r="8" spans="1:14" s="747" customFormat="1" ht="12.4" customHeight="1" x14ac:dyDescent="0.2">
      <c r="A8" s="744" t="s">
        <v>296</v>
      </c>
      <c r="B8" s="745"/>
      <c r="C8" s="746">
        <f t="shared" ref="C8:L8" si="0">SUM(C4:C7)</f>
        <v>-1017765.1666666666</v>
      </c>
      <c r="D8" s="746">
        <f t="shared" si="0"/>
        <v>4412135.701388889</v>
      </c>
      <c r="E8" s="746">
        <f t="shared" si="0"/>
        <v>17538932.043402772</v>
      </c>
      <c r="F8" s="746">
        <f t="shared" si="0"/>
        <v>35997628.613729164</v>
      </c>
      <c r="G8" s="746">
        <f t="shared" si="0"/>
        <v>63333029.995685488</v>
      </c>
      <c r="H8" s="746">
        <f t="shared" si="0"/>
        <v>99820204.74013561</v>
      </c>
      <c r="I8" s="746">
        <f t="shared" si="0"/>
        <v>133947457.6898444</v>
      </c>
      <c r="J8" s="746">
        <f t="shared" si="0"/>
        <v>159802011.93679845</v>
      </c>
      <c r="K8" s="746">
        <f t="shared" si="0"/>
        <v>183135214.69825265</v>
      </c>
      <c r="L8" s="746">
        <f t="shared" si="0"/>
        <v>206063798.61450896</v>
      </c>
      <c r="M8" s="277"/>
    </row>
    <row r="9" spans="1:14" s="18" customFormat="1" ht="12.4" customHeight="1" x14ac:dyDescent="0.2">
      <c r="A9" s="739"/>
      <c r="B9" s="116"/>
      <c r="C9" s="300"/>
      <c r="D9" s="300"/>
      <c r="E9" s="300"/>
      <c r="F9" s="300"/>
      <c r="G9" s="300"/>
      <c r="H9" s="300"/>
      <c r="I9" s="300"/>
      <c r="J9" s="300"/>
      <c r="K9" s="300"/>
      <c r="L9" s="300"/>
    </row>
    <row r="10" spans="1:14" s="18" customFormat="1" ht="12.4" customHeight="1" x14ac:dyDescent="0.2">
      <c r="A10" s="749" t="s">
        <v>300</v>
      </c>
      <c r="B10" s="116"/>
      <c r="C10" s="750">
        <v>0</v>
      </c>
      <c r="D10" s="750">
        <v>0</v>
      </c>
      <c r="E10" s="750">
        <v>0</v>
      </c>
      <c r="F10" s="750">
        <v>0</v>
      </c>
      <c r="G10" s="750">
        <v>0</v>
      </c>
      <c r="H10" s="750">
        <v>0</v>
      </c>
      <c r="I10" s="750">
        <v>0</v>
      </c>
      <c r="J10" s="750">
        <v>0</v>
      </c>
      <c r="K10" s="750">
        <v>0</v>
      </c>
      <c r="L10" s="750">
        <v>0</v>
      </c>
    </row>
    <row r="11" spans="1:14" s="18" customFormat="1" ht="12.4" customHeight="1" x14ac:dyDescent="0.2">
      <c r="A11" s="741" t="s">
        <v>352</v>
      </c>
      <c r="B11" s="116"/>
      <c r="C11" s="93">
        <f>-Calculations!Q158</f>
        <v>0</v>
      </c>
      <c r="D11" s="93">
        <f>-Calculations!AD158</f>
        <v>-306469.30416666664</v>
      </c>
      <c r="E11" s="93">
        <f>-Calculations!AE158</f>
        <v>-338625.55416666664</v>
      </c>
      <c r="F11" s="93">
        <f>-Calculations!AF158</f>
        <v>-370781.8041666667</v>
      </c>
      <c r="G11" s="93">
        <f>-Calculations!AG158</f>
        <v>-1584815.9833333334</v>
      </c>
      <c r="H11" s="93">
        <f>-Calculations!AH158</f>
        <v>-6764863.5906249983</v>
      </c>
      <c r="I11" s="93">
        <f>-Calculations!AI158</f>
        <v>-13607420.154037498</v>
      </c>
      <c r="J11" s="93">
        <f>-Calculations!AJ158</f>
        <v>-23636416.109950423</v>
      </c>
      <c r="K11" s="93">
        <f>-Calculations!AK158</f>
        <v>-36867711.963664331</v>
      </c>
      <c r="L11" s="93">
        <f>-Calculations!AL158</f>
        <v>-48596376.330781296</v>
      </c>
    </row>
    <row r="12" spans="1:14" s="384" customFormat="1" ht="12.4" customHeight="1" x14ac:dyDescent="0.2">
      <c r="A12" s="744" t="s">
        <v>353</v>
      </c>
      <c r="B12" s="304"/>
      <c r="C12" s="746">
        <f>C8+C10+C11</f>
        <v>-1017765.1666666666</v>
      </c>
      <c r="D12" s="746">
        <f t="shared" ref="D12:L12" si="1">D8+D10+D11</f>
        <v>4105666.3972222223</v>
      </c>
      <c r="E12" s="746">
        <f t="shared" si="1"/>
        <v>17200306.489236105</v>
      </c>
      <c r="F12" s="746">
        <f t="shared" si="1"/>
        <v>35626846.809562497</v>
      </c>
      <c r="G12" s="746">
        <f t="shared" si="1"/>
        <v>61748214.012352154</v>
      </c>
      <c r="H12" s="746">
        <f t="shared" si="1"/>
        <v>93055341.149510607</v>
      </c>
      <c r="I12" s="746">
        <f t="shared" si="1"/>
        <v>120340037.53580689</v>
      </c>
      <c r="J12" s="746">
        <f t="shared" si="1"/>
        <v>136165595.82684803</v>
      </c>
      <c r="K12" s="746">
        <f t="shared" si="1"/>
        <v>146267502.73458833</v>
      </c>
      <c r="L12" s="746">
        <f t="shared" si="1"/>
        <v>157467422.28372765</v>
      </c>
      <c r="M12" s="18"/>
    </row>
    <row r="13" spans="1:14" s="18" customFormat="1" ht="12.4" customHeight="1" x14ac:dyDescent="0.2">
      <c r="A13" s="748"/>
      <c r="B13" s="116"/>
      <c r="C13" s="300"/>
      <c r="D13" s="300"/>
      <c r="E13" s="300"/>
      <c r="F13" s="300"/>
      <c r="G13" s="300"/>
      <c r="H13" s="300"/>
      <c r="I13" s="300"/>
      <c r="J13" s="300"/>
      <c r="K13" s="300"/>
      <c r="L13" s="300"/>
    </row>
    <row r="14" spans="1:14" s="18" customFormat="1" ht="12.4" customHeight="1" x14ac:dyDescent="0.2">
      <c r="A14" s="783" t="s">
        <v>354</v>
      </c>
      <c r="B14" s="782">
        <v>0.3</v>
      </c>
      <c r="C14" s="300"/>
      <c r="D14" s="300"/>
      <c r="E14" s="300"/>
      <c r="F14" s="300"/>
      <c r="G14" s="300"/>
      <c r="H14" s="300"/>
      <c r="I14" s="300"/>
      <c r="J14" s="300"/>
      <c r="K14" s="300"/>
      <c r="L14" s="300"/>
    </row>
    <row r="15" spans="1:14" s="18" customFormat="1" ht="12.4" customHeight="1" x14ac:dyDescent="0.2">
      <c r="A15" s="783" t="s">
        <v>368</v>
      </c>
      <c r="B15" s="746">
        <f>NPV(B14,C12,D12,E12,F12,G12,H12,I12,J12,K12,L12)</f>
        <v>118944859.95298421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</row>
    <row r="16" spans="1:14" s="18" customFormat="1" ht="12.4" customHeight="1" x14ac:dyDescent="0.2">
      <c r="A16" s="739" t="s">
        <v>358</v>
      </c>
      <c r="B16" s="743"/>
      <c r="C16" s="300"/>
      <c r="D16" s="786">
        <f>$B$15/'P&amp;L'!AG3</f>
        <v>11.216914267808608</v>
      </c>
      <c r="E16" s="786">
        <f>$B$15/'P&amp;L'!AH3</f>
        <v>3.6787015571711734</v>
      </c>
      <c r="F16" s="786">
        <f>$B$15/'P&amp;L'!AI3</f>
        <v>1.9267345793398585</v>
      </c>
      <c r="G16" s="786">
        <f>$B$15/'P&amp;L'!AJ3</f>
        <v>1.1373493422964729</v>
      </c>
      <c r="H16" s="786">
        <f>$B$15/'P&amp;L'!AK3</f>
        <v>0.7400500799009907</v>
      </c>
      <c r="I16" s="786">
        <f>$B$15/'P&amp;L'!AL3</f>
        <v>0.56463451792337027</v>
      </c>
      <c r="J16" s="786">
        <f>$B$15/'P&amp;L'!AM3</f>
        <v>0.4804075665279951</v>
      </c>
      <c r="K16" s="786">
        <f>$B$15/'P&amp;L'!AN3</f>
        <v>0.42100635814652715</v>
      </c>
      <c r="L16" s="786">
        <f>$B$15/'P&amp;L'!AO3</f>
        <v>0.37490434759517183</v>
      </c>
    </row>
    <row r="17" spans="1:13" s="18" customFormat="1" ht="12.4" customHeight="1" x14ac:dyDescent="0.2">
      <c r="A17" s="739" t="s">
        <v>357</v>
      </c>
      <c r="B17" s="116"/>
      <c r="C17" s="300"/>
      <c r="D17" s="786">
        <f>$B$15/D4</f>
        <v>20.768216246193393</v>
      </c>
      <c r="E17" s="786">
        <f t="shared" ref="E17:L17" si="2">$B$15/E4</f>
        <v>6.1530051228009928</v>
      </c>
      <c r="F17" s="786">
        <f t="shared" si="2"/>
        <v>3.0591127408708663</v>
      </c>
      <c r="G17" s="786">
        <f t="shared" si="2"/>
        <v>1.7611958767092362</v>
      </c>
      <c r="H17" s="786">
        <f t="shared" si="2"/>
        <v>1.1291506034947398</v>
      </c>
      <c r="I17" s="786">
        <f t="shared" si="2"/>
        <v>0.85663798072127106</v>
      </c>
      <c r="J17" s="786">
        <f t="shared" si="2"/>
        <v>0.72785450977642496</v>
      </c>
      <c r="K17" s="786">
        <f t="shared" si="2"/>
        <v>0.63760813146389628</v>
      </c>
      <c r="L17" s="786">
        <f t="shared" si="2"/>
        <v>0.56789116676286067</v>
      </c>
    </row>
    <row r="18" spans="1:13" s="18" customFormat="1" ht="12.4" customHeight="1" x14ac:dyDescent="0.2">
      <c r="A18" s="783" t="s">
        <v>369</v>
      </c>
      <c r="B18" s="746">
        <f>NPV(B14,C12,D12,E12,F12,G12)</f>
        <v>38580027.852335744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</row>
    <row r="19" spans="1:13" s="18" customFormat="1" ht="12.4" customHeight="1" x14ac:dyDescent="0.2">
      <c r="A19" s="739" t="s">
        <v>358</v>
      </c>
      <c r="B19" s="743"/>
      <c r="C19" s="300"/>
      <c r="D19" s="786">
        <f>$B$18/'P&amp;L'!AG3</f>
        <v>3.6382308999344115</v>
      </c>
      <c r="E19" s="786">
        <f>$B$18/'P&amp;L'!AH3</f>
        <v>1.1931949694353647</v>
      </c>
      <c r="F19" s="786">
        <f>$B$18/'P&amp;L'!AI3</f>
        <v>0.62494061335960382</v>
      </c>
      <c r="G19" s="786">
        <f>$B$18/'P&amp;L'!AJ3</f>
        <v>0.36890176944996084</v>
      </c>
      <c r="H19" s="786">
        <f>$B$18/'P&amp;L'!AK3</f>
        <v>0.24003687680147787</v>
      </c>
      <c r="I19" s="786">
        <f>$B$18/'P&amp;L'!AL3</f>
        <v>0.18314045210935792</v>
      </c>
      <c r="J19" s="786">
        <f>$B$18/'P&amp;L'!AM3</f>
        <v>0.15582125452456666</v>
      </c>
      <c r="K19" s="786">
        <f>$B$18/'P&amp;L'!AN3</f>
        <v>0.13655434147994006</v>
      </c>
      <c r="L19" s="786">
        <f>$B$18/'P&amp;L'!AO3</f>
        <v>0.12160105260454852</v>
      </c>
    </row>
    <row r="20" spans="1:13" s="18" customFormat="1" ht="12.4" customHeight="1" x14ac:dyDescent="0.2">
      <c r="A20" s="739" t="s">
        <v>357</v>
      </c>
      <c r="B20" s="116"/>
      <c r="C20" s="300"/>
      <c r="D20" s="786">
        <f>$B$18/D4</f>
        <v>6.7362167775739223</v>
      </c>
      <c r="E20" s="786">
        <f t="shared" ref="E20:L20" si="3">$B$18/E4</f>
        <v>1.9957407920532095</v>
      </c>
      <c r="F20" s="786">
        <f t="shared" si="3"/>
        <v>0.99222996935625152</v>
      </c>
      <c r="G20" s="786">
        <f t="shared" si="3"/>
        <v>0.57124776979618008</v>
      </c>
      <c r="H20" s="786">
        <f t="shared" si="3"/>
        <v>0.36624249042394902</v>
      </c>
      <c r="I20" s="786">
        <f t="shared" si="3"/>
        <v>0.27785241975700958</v>
      </c>
      <c r="J20" s="786">
        <f t="shared" si="3"/>
        <v>0.23608121671438512</v>
      </c>
      <c r="K20" s="786">
        <f t="shared" si="3"/>
        <v>0.20680960472336665</v>
      </c>
      <c r="L20" s="786">
        <f t="shared" si="3"/>
        <v>0.18419675334828897</v>
      </c>
    </row>
    <row r="21" spans="1:13" s="18" customFormat="1" ht="12.4" customHeight="1" x14ac:dyDescent="0.2">
      <c r="A21" s="785"/>
      <c r="B21" s="116"/>
      <c r="C21" s="300"/>
      <c r="D21" s="786"/>
      <c r="E21" s="786"/>
      <c r="F21" s="786"/>
      <c r="G21" s="786"/>
      <c r="H21" s="786"/>
      <c r="I21" s="786"/>
      <c r="J21" s="786"/>
      <c r="K21" s="786"/>
      <c r="L21" s="786"/>
    </row>
    <row r="22" spans="1:13" s="18" customFormat="1" ht="12.4" customHeight="1" x14ac:dyDescent="0.2">
      <c r="A22" s="785" t="s">
        <v>308</v>
      </c>
      <c r="B22" s="750">
        <v>2000000</v>
      </c>
      <c r="C22" s="300"/>
      <c r="D22" s="786"/>
      <c r="E22" s="786"/>
      <c r="F22" s="786"/>
      <c r="G22" s="786"/>
      <c r="H22" s="786"/>
      <c r="I22" s="786"/>
      <c r="J22" s="786"/>
      <c r="K22" s="786"/>
      <c r="L22" s="786"/>
    </row>
    <row r="23" spans="1:13" s="18" customFormat="1" ht="12.4" customHeight="1" x14ac:dyDescent="0.2">
      <c r="A23" s="785" t="s">
        <v>370</v>
      </c>
      <c r="B23" s="791">
        <f>B22/B18</f>
        <v>5.1840294352688353E-2</v>
      </c>
      <c r="C23" s="300"/>
      <c r="D23" s="786"/>
      <c r="E23" s="786"/>
      <c r="F23" s="786"/>
      <c r="G23" s="786"/>
      <c r="H23" s="786"/>
      <c r="I23" s="786"/>
      <c r="J23" s="786"/>
      <c r="K23" s="786"/>
      <c r="L23" s="786"/>
    </row>
    <row r="24" spans="1:13" s="18" customFormat="1" ht="12.4" customHeight="1" x14ac:dyDescent="0.2">
      <c r="A24" s="785"/>
      <c r="B24" s="116"/>
      <c r="C24" s="300"/>
      <c r="D24" s="300"/>
      <c r="E24" s="300"/>
      <c r="F24" s="300"/>
      <c r="G24" s="300"/>
      <c r="H24" s="300"/>
      <c r="I24" s="300"/>
      <c r="J24" s="300"/>
      <c r="K24" s="300"/>
      <c r="L24" s="300"/>
    </row>
    <row r="25" spans="1:13" ht="12.4" customHeight="1" x14ac:dyDescent="0.2">
      <c r="A25" s="784" t="s">
        <v>355</v>
      </c>
      <c r="B25"/>
      <c r="C25"/>
      <c r="M25" s="20"/>
    </row>
    <row r="26" spans="1:13" ht="12.4" customHeight="1" x14ac:dyDescent="0.2">
      <c r="A26" s="1" t="s">
        <v>363</v>
      </c>
      <c r="B26" s="788">
        <v>2018</v>
      </c>
      <c r="M26" s="20"/>
    </row>
    <row r="27" spans="1:13" ht="12.4" customHeight="1" x14ac:dyDescent="0.2">
      <c r="A27" s="1" t="s">
        <v>359</v>
      </c>
      <c r="B27" s="787">
        <v>8.6</v>
      </c>
      <c r="M27" s="20"/>
    </row>
    <row r="28" spans="1:13" ht="12.4" customHeight="1" x14ac:dyDescent="0.2">
      <c r="A28" s="1" t="s">
        <v>360</v>
      </c>
      <c r="E28" s="93">
        <f t="shared" ref="E28:L28" si="4">$B$27*E4</f>
        <v>166248162.51249996</v>
      </c>
      <c r="F28" s="93">
        <f t="shared" si="4"/>
        <v>334386432.35634995</v>
      </c>
      <c r="G28" s="93">
        <f t="shared" si="4"/>
        <v>580813190.1302104</v>
      </c>
      <c r="H28" s="93">
        <f t="shared" si="4"/>
        <v>905925031.10718083</v>
      </c>
      <c r="I28" s="93">
        <f t="shared" si="4"/>
        <v>1194116789.8420546</v>
      </c>
      <c r="J28" s="93">
        <f t="shared" si="4"/>
        <v>1405398718.9141362</v>
      </c>
      <c r="K28" s="93">
        <f t="shared" si="4"/>
        <v>1604317362.2129159</v>
      </c>
      <c r="L28" s="93">
        <f t="shared" si="4"/>
        <v>1801270834.0343254</v>
      </c>
      <c r="M28" s="20"/>
    </row>
    <row r="29" spans="1:13" ht="12.4" customHeight="1" x14ac:dyDescent="0.2">
      <c r="A29" s="1" t="s">
        <v>362</v>
      </c>
      <c r="B29" s="843">
        <v>0.22500000000000001</v>
      </c>
      <c r="E29" s="93"/>
      <c r="M29" s="20"/>
    </row>
    <row r="30" spans="1:13" ht="12.4" customHeight="1" x14ac:dyDescent="0.2">
      <c r="A30" s="1" t="s">
        <v>361</v>
      </c>
      <c r="E30" s="93">
        <f>$B$29*E28</f>
        <v>37405836.56531249</v>
      </c>
      <c r="F30" s="93">
        <f t="shared" ref="F30:L30" si="5">$B$29*F28</f>
        <v>75236947.280178741</v>
      </c>
      <c r="G30" s="93">
        <f t="shared" si="5"/>
        <v>130682967.77929734</v>
      </c>
      <c r="H30" s="93">
        <f t="shared" si="5"/>
        <v>203833131.99911571</v>
      </c>
      <c r="I30" s="93">
        <f t="shared" si="5"/>
        <v>268676277.71446228</v>
      </c>
      <c r="J30" s="93">
        <f t="shared" si="5"/>
        <v>316214711.75568062</v>
      </c>
      <c r="K30" s="93">
        <f t="shared" si="5"/>
        <v>360971406.49790609</v>
      </c>
      <c r="L30" s="93">
        <f t="shared" si="5"/>
        <v>405285937.65772319</v>
      </c>
      <c r="M30" s="20"/>
    </row>
    <row r="31" spans="1:13" ht="12.4" customHeight="1" x14ac:dyDescent="0.2">
      <c r="M31" s="20"/>
    </row>
    <row r="32" spans="1:13" ht="12.4" customHeight="1" x14ac:dyDescent="0.2">
      <c r="M32" s="20"/>
    </row>
    <row r="33" spans="1:13" ht="12.4" customHeight="1" x14ac:dyDescent="0.2">
      <c r="A33" s="785" t="s">
        <v>356</v>
      </c>
      <c r="B33" s="93">
        <f>-B22</f>
        <v>-2000000</v>
      </c>
      <c r="C33"/>
      <c r="M33" s="20"/>
    </row>
    <row r="34" spans="1:13" s="18" customFormat="1" ht="12.4" customHeight="1" x14ac:dyDescent="0.2">
      <c r="A34" s="741" t="s">
        <v>366</v>
      </c>
      <c r="B34" s="116"/>
      <c r="C34" s="93">
        <f>Calculations!Q164*$B$29</f>
        <v>0</v>
      </c>
      <c r="D34" s="93">
        <f>Calculations!AD164*$B$29</f>
        <v>0</v>
      </c>
      <c r="E34" s="93">
        <f>Calculations!AE164*$B$29</f>
        <v>0</v>
      </c>
      <c r="F34" s="93">
        <f>Calculations!AF164*$B$29</f>
        <v>0</v>
      </c>
      <c r="G34" s="93">
        <f>Calculations!AG164*$B$29</f>
        <v>0</v>
      </c>
      <c r="H34" s="93">
        <f>Calculations!AH164*$B$29</f>
        <v>0</v>
      </c>
      <c r="I34" s="93">
        <f>Calculations!AI164*$B$29</f>
        <v>0</v>
      </c>
      <c r="J34" s="93">
        <f>Calculations!AJ164*$B$29</f>
        <v>0</v>
      </c>
      <c r="K34" s="93">
        <f>Calculations!AK164*$B$29</f>
        <v>0</v>
      </c>
      <c r="L34" s="93">
        <f>Calculations!AL164*$B$29</f>
        <v>0</v>
      </c>
    </row>
    <row r="35" spans="1:13" ht="12.4" customHeight="1" x14ac:dyDescent="0.2">
      <c r="A35" s="741" t="s">
        <v>364</v>
      </c>
      <c r="E35" s="93">
        <f>IF($B$26=E2,E30,)</f>
        <v>0</v>
      </c>
      <c r="F35" s="93">
        <f t="shared" ref="F35:L35" si="6">IF($B$26=F2,F30,)</f>
        <v>0</v>
      </c>
      <c r="G35" s="93">
        <f t="shared" si="6"/>
        <v>0</v>
      </c>
      <c r="H35" s="93">
        <f t="shared" si="6"/>
        <v>203833131.99911571</v>
      </c>
      <c r="I35" s="93">
        <f t="shared" si="6"/>
        <v>0</v>
      </c>
      <c r="J35" s="93">
        <f t="shared" si="6"/>
        <v>0</v>
      </c>
      <c r="K35" s="93">
        <f t="shared" si="6"/>
        <v>0</v>
      </c>
      <c r="L35" s="93">
        <f t="shared" si="6"/>
        <v>0</v>
      </c>
      <c r="M35" s="20"/>
    </row>
    <row r="36" spans="1:13" s="735" customFormat="1" ht="12.4" customHeight="1" x14ac:dyDescent="0.2">
      <c r="A36" s="789" t="s">
        <v>365</v>
      </c>
      <c r="B36" s="737">
        <f>SUM(B33:B35)</f>
        <v>-2000000</v>
      </c>
      <c r="C36" s="737">
        <f t="shared" ref="C36:L36" si="7">SUM(C33:C35)</f>
        <v>0</v>
      </c>
      <c r="D36" s="737">
        <f t="shared" si="7"/>
        <v>0</v>
      </c>
      <c r="E36" s="737">
        <f t="shared" si="7"/>
        <v>0</v>
      </c>
      <c r="F36" s="737">
        <f t="shared" si="7"/>
        <v>0</v>
      </c>
      <c r="G36" s="737">
        <f t="shared" si="7"/>
        <v>0</v>
      </c>
      <c r="H36" s="737">
        <f t="shared" si="7"/>
        <v>203833131.99911571</v>
      </c>
      <c r="I36" s="737">
        <f t="shared" si="7"/>
        <v>0</v>
      </c>
      <c r="J36" s="737">
        <f t="shared" si="7"/>
        <v>0</v>
      </c>
      <c r="K36" s="737">
        <f t="shared" si="7"/>
        <v>0</v>
      </c>
      <c r="L36" s="947">
        <f t="shared" si="7"/>
        <v>0</v>
      </c>
      <c r="M36" s="810"/>
    </row>
    <row r="37" spans="1:13" ht="12.4" customHeight="1" x14ac:dyDescent="0.2">
      <c r="M37" s="20"/>
    </row>
    <row r="38" spans="1:13" ht="12.4" customHeight="1" x14ac:dyDescent="0.2">
      <c r="A38" s="1" t="s">
        <v>367</v>
      </c>
      <c r="B38" s="790">
        <f>IF(B26=2015,SUM(C36:E36)/-B36,IF(B26=2016,SUM(C36:F36)/-B36,IF(B26=2017,SUM(C36:G36)/-B36,IF(B26=2018,SUM(C36:H36)/-B36,0))))</f>
        <v>101.91656599955785</v>
      </c>
    </row>
    <row r="39" spans="1:13" ht="12.4" customHeight="1" x14ac:dyDescent="0.2">
      <c r="B39" s="131"/>
    </row>
    <row r="42" spans="1:13" ht="12.4" customHeight="1" x14ac:dyDescent="0.2">
      <c r="E42" s="1" t="s">
        <v>479</v>
      </c>
    </row>
    <row r="43" spans="1:13" ht="12.4" customHeight="1" x14ac:dyDescent="0.2">
      <c r="A43" s="436" t="s">
        <v>412</v>
      </c>
      <c r="I43" s="1" t="s">
        <v>406</v>
      </c>
    </row>
    <row r="44" spans="1:13" ht="12.4" customHeight="1" x14ac:dyDescent="0.2">
      <c r="E44" s="834">
        <f>B53</f>
        <v>0.63</v>
      </c>
      <c r="F44" s="750">
        <v>5000000</v>
      </c>
      <c r="G44" s="750">
        <f>F44+1000000</f>
        <v>6000000</v>
      </c>
      <c r="H44" s="750">
        <f t="shared" ref="H44:M44" si="8">G44+1000000</f>
        <v>7000000</v>
      </c>
      <c r="I44" s="750">
        <f t="shared" si="8"/>
        <v>8000000</v>
      </c>
      <c r="J44" s="750">
        <f t="shared" si="8"/>
        <v>9000000</v>
      </c>
      <c r="K44" s="750">
        <f t="shared" si="8"/>
        <v>10000000</v>
      </c>
      <c r="L44" s="750">
        <f t="shared" si="8"/>
        <v>11000000</v>
      </c>
      <c r="M44" s="750">
        <f t="shared" si="8"/>
        <v>12000000</v>
      </c>
    </row>
    <row r="45" spans="1:13" ht="12.4" customHeight="1" x14ac:dyDescent="0.2">
      <c r="A45" s="833" t="s">
        <v>476</v>
      </c>
      <c r="E45" s="750">
        <v>500000</v>
      </c>
      <c r="F45" s="836">
        <f t="dataTable" ref="F45:M50" dt2D="1" dtr="0" r1="B46" r2="B47"/>
        <v>0.63</v>
      </c>
      <c r="G45" s="837">
        <v>0.63</v>
      </c>
      <c r="H45" s="837">
        <v>0.63</v>
      </c>
      <c r="I45" s="837">
        <v>0.63</v>
      </c>
      <c r="J45" s="837">
        <v>0.63</v>
      </c>
      <c r="K45" s="837">
        <v>0.63</v>
      </c>
      <c r="L45" s="837">
        <v>0.63</v>
      </c>
      <c r="M45" s="837">
        <v>0.63</v>
      </c>
    </row>
    <row r="46" spans="1:13" ht="12.4" customHeight="1" x14ac:dyDescent="0.2">
      <c r="A46" s="1" t="s">
        <v>406</v>
      </c>
      <c r="B46" s="750">
        <v>8000000</v>
      </c>
      <c r="E46" s="750">
        <v>1000000</v>
      </c>
      <c r="F46" s="835">
        <v>0.63</v>
      </c>
      <c r="G46" s="812">
        <v>0.63</v>
      </c>
      <c r="H46" s="812">
        <v>0.63</v>
      </c>
      <c r="I46" s="812">
        <v>0.63</v>
      </c>
      <c r="J46" s="812">
        <v>0.63</v>
      </c>
      <c r="K46" s="812">
        <v>0.63</v>
      </c>
      <c r="L46" s="812">
        <v>0.63</v>
      </c>
      <c r="M46" s="812">
        <v>0.63</v>
      </c>
    </row>
    <row r="47" spans="1:13" ht="12.4" customHeight="1" x14ac:dyDescent="0.2">
      <c r="A47" s="1" t="s">
        <v>174</v>
      </c>
      <c r="B47" s="750">
        <v>2000000</v>
      </c>
      <c r="E47" s="750">
        <v>1500000</v>
      </c>
      <c r="F47" s="835">
        <v>0.63</v>
      </c>
      <c r="G47" s="812">
        <v>0.63</v>
      </c>
      <c r="H47" s="812">
        <v>0.63</v>
      </c>
      <c r="I47" s="812">
        <v>0.63</v>
      </c>
      <c r="J47" s="812">
        <v>0.63</v>
      </c>
      <c r="K47" s="812">
        <v>0.63</v>
      </c>
      <c r="L47" s="812">
        <v>0.63</v>
      </c>
      <c r="M47" s="812">
        <v>0.63</v>
      </c>
    </row>
    <row r="48" spans="1:13" ht="12.4" customHeight="1" x14ac:dyDescent="0.2">
      <c r="A48" s="1" t="s">
        <v>407</v>
      </c>
      <c r="B48" s="255">
        <f>B46+B47</f>
        <v>10000000</v>
      </c>
      <c r="D48" s="1" t="s">
        <v>478</v>
      </c>
      <c r="E48" s="750">
        <v>2000000</v>
      </c>
      <c r="F48" s="835">
        <v>0.63</v>
      </c>
      <c r="G48" s="812">
        <v>0.63</v>
      </c>
      <c r="H48" s="812">
        <v>0.63</v>
      </c>
      <c r="I48" s="812">
        <v>0.63</v>
      </c>
      <c r="J48" s="812">
        <v>0.63</v>
      </c>
      <c r="K48" s="812">
        <v>0.63</v>
      </c>
      <c r="L48" s="812">
        <v>0.63</v>
      </c>
      <c r="M48" s="812">
        <v>0.63</v>
      </c>
    </row>
    <row r="49" spans="1:13" ht="12.4" customHeight="1" x14ac:dyDescent="0.2">
      <c r="A49" s="1" t="s">
        <v>408</v>
      </c>
      <c r="B49" s="807">
        <f>B29</f>
        <v>0.22500000000000001</v>
      </c>
      <c r="E49" s="750">
        <v>2500000</v>
      </c>
      <c r="F49" s="835">
        <v>0.63</v>
      </c>
      <c r="G49" s="812">
        <v>0.63</v>
      </c>
      <c r="H49" s="812">
        <v>0.63</v>
      </c>
      <c r="I49" s="812">
        <v>0.63</v>
      </c>
      <c r="J49" s="812">
        <v>0.63</v>
      </c>
      <c r="K49" s="812">
        <v>0.63</v>
      </c>
      <c r="L49" s="812">
        <v>0.63</v>
      </c>
      <c r="M49" s="812">
        <v>0.63</v>
      </c>
    </row>
    <row r="50" spans="1:13" ht="12.4" customHeight="1" x14ac:dyDescent="0.2">
      <c r="A50" s="1" t="s">
        <v>409</v>
      </c>
      <c r="B50" s="807">
        <f>50*0.25%</f>
        <v>0.125</v>
      </c>
      <c r="E50" s="750">
        <v>3000000</v>
      </c>
      <c r="F50" s="835">
        <v>0.63</v>
      </c>
      <c r="G50" s="812">
        <v>0.63</v>
      </c>
      <c r="H50" s="812">
        <v>0.63</v>
      </c>
      <c r="I50" s="812">
        <v>0.63</v>
      </c>
      <c r="J50" s="812">
        <v>0.63</v>
      </c>
      <c r="K50" s="812">
        <v>0.63</v>
      </c>
      <c r="L50" s="812">
        <v>0.63</v>
      </c>
      <c r="M50" s="812">
        <v>0.63</v>
      </c>
    </row>
    <row r="51" spans="1:13" ht="12.4" customHeight="1" x14ac:dyDescent="0.2">
      <c r="A51" s="1" t="s">
        <v>410</v>
      </c>
      <c r="B51" s="812">
        <v>0.02</v>
      </c>
    </row>
    <row r="53" spans="1:13" ht="12.4" customHeight="1" x14ac:dyDescent="0.2">
      <c r="A53" s="436" t="s">
        <v>411</v>
      </c>
      <c r="B53" s="813">
        <f>1-SUM(B49:B51)</f>
        <v>0.63</v>
      </c>
    </row>
    <row r="56" spans="1:13" ht="12.4" customHeight="1" x14ac:dyDescent="0.2">
      <c r="A56" s="833" t="s">
        <v>477</v>
      </c>
    </row>
    <row r="57" spans="1:13" ht="12.4" customHeight="1" x14ac:dyDescent="0.2">
      <c r="A57" s="1" t="s">
        <v>406</v>
      </c>
      <c r="B57" s="750">
        <v>12000000</v>
      </c>
    </row>
    <row r="58" spans="1:13" ht="12.4" customHeight="1" x14ac:dyDescent="0.2">
      <c r="A58" s="1" t="s">
        <v>174</v>
      </c>
      <c r="B58" s="750">
        <v>0</v>
      </c>
    </row>
    <row r="59" spans="1:13" ht="12.4" customHeight="1" x14ac:dyDescent="0.2">
      <c r="A59" s="1" t="s">
        <v>407</v>
      </c>
      <c r="B59" s="255">
        <f>B57+B58</f>
        <v>12000000</v>
      </c>
    </row>
    <row r="60" spans="1:13" ht="12.4" customHeight="1" x14ac:dyDescent="0.2">
      <c r="A60" s="1" t="s">
        <v>408</v>
      </c>
      <c r="B60" s="807">
        <f>B58/B59</f>
        <v>0</v>
      </c>
    </row>
    <row r="62" spans="1:13" ht="12.4" customHeight="1" x14ac:dyDescent="0.2">
      <c r="A62" s="436" t="s">
        <v>411</v>
      </c>
      <c r="B62" s="813">
        <f>B53-B60</f>
        <v>0.63</v>
      </c>
    </row>
  </sheetData>
  <pageMargins left="0.75" right="0.75" top="1" bottom="1" header="0.5" footer="0.5"/>
  <pageSetup scale="83" fitToWidth="0" orientation="portrait" horizontalDpi="4294967292" verticalDpi="96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showGridLines="0" zoomScaleNormal="100" workbookViewId="0">
      <pane xSplit="1" ySplit="2" topLeftCell="B3" activePane="bottomRight" state="frozenSplit"/>
      <selection pane="topRight"/>
      <selection pane="bottomLeft"/>
      <selection pane="bottomRight" activeCell="A21" sqref="A21"/>
    </sheetView>
  </sheetViews>
  <sheetFormatPr defaultColWidth="0" defaultRowHeight="12.4" customHeight="1" outlineLevelCol="1" x14ac:dyDescent="0.2"/>
  <cols>
    <col min="1" max="1" width="38.5" style="1" customWidth="1"/>
    <col min="2" max="2" width="16.875" style="1" customWidth="1"/>
    <col min="3" max="7" width="13.625" style="1" customWidth="1"/>
    <col min="8" max="8" width="14.375" style="1" bestFit="1" customWidth="1" outlineLevel="1"/>
    <col min="9" max="10" width="14.625" style="1" customWidth="1" outlineLevel="1"/>
    <col min="11" max="11" width="15.25" style="1" customWidth="1" outlineLevel="1"/>
    <col min="12" max="12" width="14.625" style="1" customWidth="1" outlineLevel="1"/>
    <col min="13" max="13" width="8.5" style="1" customWidth="1"/>
    <col min="14" max="16" width="28.75" style="1" hidden="1" customWidth="1"/>
    <col min="17" max="19" width="0" style="1" hidden="1" customWidth="1"/>
    <col min="20" max="20" width="13.625" style="1" hidden="1" customWidth="1"/>
    <col min="21" max="22" width="14.625" style="1" hidden="1" customWidth="1"/>
    <col min="23" max="23" width="15.25" style="1" hidden="1" customWidth="1"/>
    <col min="24" max="24" width="14.625" style="1" hidden="1" customWidth="1"/>
    <col min="25" max="25" width="0" style="1" hidden="1" customWidth="1"/>
    <col min="26" max="28" width="28.75" style="1" hidden="1" customWidth="1"/>
    <col min="29" max="31" width="0" style="1" hidden="1" customWidth="1"/>
    <col min="32" max="32" width="13.625" style="1" hidden="1" customWidth="1"/>
    <col min="33" max="34" width="14.625" style="1" hidden="1" customWidth="1"/>
    <col min="35" max="35" width="15.25" style="1" hidden="1" customWidth="1"/>
    <col min="36" max="36" width="14.625" style="1" hidden="1" customWidth="1"/>
    <col min="37" max="37" width="0" style="1" hidden="1" customWidth="1"/>
    <col min="38" max="40" width="28.75" style="1" hidden="1" customWidth="1"/>
    <col min="41" max="16384" width="9" style="1" hidden="1"/>
  </cols>
  <sheetData>
    <row r="1" spans="1:14" s="75" customFormat="1" ht="16.149999999999999" customHeight="1" x14ac:dyDescent="0.2">
      <c r="A1" s="2" t="s">
        <v>463</v>
      </c>
      <c r="B1" s="316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2"/>
      <c r="N1"/>
    </row>
    <row r="2" spans="1:14" ht="12.4" customHeight="1" x14ac:dyDescent="0.2">
      <c r="A2" s="675"/>
      <c r="B2" s="738"/>
      <c r="C2" s="471">
        <f>'Sales and COGS Forecasts'!T2</f>
        <v>2013</v>
      </c>
      <c r="D2" s="471">
        <f>'Sales and COGS Forecasts'!AG2</f>
        <v>2014</v>
      </c>
      <c r="E2" s="471">
        <f>'Sales and COGS Forecasts'!AH2</f>
        <v>2015</v>
      </c>
      <c r="F2" s="471">
        <f>'Sales and COGS Forecasts'!AI2</f>
        <v>2016</v>
      </c>
      <c r="G2" s="471">
        <f>'Sales and COGS Forecasts'!AJ2</f>
        <v>2017</v>
      </c>
      <c r="H2" s="471">
        <f>'Sales and COGS Forecasts'!AK2</f>
        <v>2018</v>
      </c>
      <c r="I2" s="471">
        <f>'Sales and COGS Forecasts'!AL2</f>
        <v>2019</v>
      </c>
      <c r="J2" s="471">
        <f>'Sales and COGS Forecasts'!AM2</f>
        <v>2020</v>
      </c>
      <c r="K2" s="471">
        <f>'Sales and COGS Forecasts'!AN2</f>
        <v>2021</v>
      </c>
      <c r="L2" s="471">
        <f>'Sales and COGS Forecasts'!AO2</f>
        <v>2022</v>
      </c>
      <c r="M2" s="32"/>
      <c r="N2"/>
    </row>
    <row r="3" spans="1:14" s="18" customFormat="1" ht="12.4" customHeight="1" x14ac:dyDescent="0.2">
      <c r="A3" s="739"/>
      <c r="B3" s="116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4" s="18" customFormat="1" ht="12.4" customHeight="1" x14ac:dyDescent="0.2">
      <c r="A4" s="739" t="s">
        <v>273</v>
      </c>
      <c r="B4" s="116"/>
      <c r="C4" s="93">
        <f>'P&amp;L'!T3</f>
        <v>0</v>
      </c>
      <c r="D4" s="93">
        <f>'P&amp;L'!AG3</f>
        <v>10604062.5</v>
      </c>
      <c r="E4" s="93">
        <f>'P&amp;L'!AH3</f>
        <v>32333381.249999996</v>
      </c>
      <c r="F4" s="93">
        <f>'P&amp;L'!AI3</f>
        <v>61733910.434999995</v>
      </c>
      <c r="G4" s="93">
        <f>'P&amp;L'!AJ3</f>
        <v>104580761.18707497</v>
      </c>
      <c r="H4" s="93">
        <f>'P&amp;L'!AK3</f>
        <v>160725420.05386654</v>
      </c>
      <c r="I4" s="93">
        <f>'P&amp;L'!AL3</f>
        <v>210658144.65336478</v>
      </c>
      <c r="J4" s="93">
        <f>'P&amp;L'!AM3</f>
        <v>247591562.33242396</v>
      </c>
      <c r="K4" s="93">
        <f>'P&amp;L'!AN3</f>
        <v>282525091.72696775</v>
      </c>
      <c r="L4" s="93">
        <f>'P&amp;L'!AO3</f>
        <v>317267219.53468227</v>
      </c>
    </row>
    <row r="5" spans="1:14" s="828" customFormat="1" ht="12.4" customHeight="1" x14ac:dyDescent="0.2">
      <c r="A5" s="827" t="s">
        <v>236</v>
      </c>
      <c r="B5" s="717"/>
      <c r="C5" s="732"/>
      <c r="D5" s="732"/>
      <c r="E5" s="829">
        <f>E4/D4-1</f>
        <v>2.0491503845813805</v>
      </c>
      <c r="F5" s="829">
        <f t="shared" ref="F5:L5" si="0">F4/E4-1</f>
        <v>0.9092933695265788</v>
      </c>
      <c r="G5" s="829">
        <f t="shared" si="0"/>
        <v>0.69405696885488388</v>
      </c>
      <c r="H5" s="829">
        <f t="shared" si="0"/>
        <v>0.53685456320555458</v>
      </c>
      <c r="I5" s="829">
        <f t="shared" si="0"/>
        <v>0.31067098522911607</v>
      </c>
      <c r="J5" s="829">
        <f t="shared" si="0"/>
        <v>0.17532394838012388</v>
      </c>
      <c r="K5" s="829">
        <f t="shared" si="0"/>
        <v>0.14109337598363303</v>
      </c>
      <c r="L5" s="829">
        <f t="shared" si="0"/>
        <v>0.12297006115580467</v>
      </c>
    </row>
    <row r="6" spans="1:14" s="828" customFormat="1" ht="12.4" customHeight="1" x14ac:dyDescent="0.2">
      <c r="A6" s="827"/>
      <c r="B6" s="717"/>
      <c r="C6" s="732"/>
      <c r="D6" s="732"/>
      <c r="E6" s="829"/>
      <c r="F6" s="829"/>
      <c r="G6" s="829"/>
      <c r="H6" s="829"/>
      <c r="I6" s="829"/>
      <c r="J6" s="829"/>
      <c r="K6" s="829"/>
      <c r="L6" s="829"/>
    </row>
    <row r="7" spans="1:14" s="18" customFormat="1" ht="12.4" customHeight="1" x14ac:dyDescent="0.2">
      <c r="A7" s="739" t="s">
        <v>209</v>
      </c>
      <c r="B7" s="116"/>
      <c r="C7" s="93">
        <f>'P&amp;L'!T39</f>
        <v>-1036508.8333333333</v>
      </c>
      <c r="D7" s="93">
        <f>'P&amp;L'!AG39</f>
        <v>5727254.5</v>
      </c>
      <c r="E7" s="93">
        <f>'P&amp;L'!AH39</f>
        <v>19331181.687499996</v>
      </c>
      <c r="F7" s="93">
        <f>'P&amp;L'!AI39</f>
        <v>38882143.297249995</v>
      </c>
      <c r="G7" s="93">
        <f>'P&amp;L'!AJ39</f>
        <v>67536417.457001209</v>
      </c>
      <c r="H7" s="93">
        <f>'P&amp;L'!AK39</f>
        <v>105340119.89618382</v>
      </c>
      <c r="I7" s="93">
        <f>'P&amp;L'!AL39</f>
        <v>138850789.516518</v>
      </c>
      <c r="J7" s="93">
        <f>'P&amp;L'!AM39</f>
        <v>163418455.68769026</v>
      </c>
      <c r="K7" s="93">
        <f>'P&amp;L'!AN39</f>
        <v>186548530.48987395</v>
      </c>
      <c r="L7" s="93">
        <f>'P&amp;L'!AO39</f>
        <v>209450096.98073551</v>
      </c>
    </row>
    <row r="8" spans="1:14" s="828" customFormat="1" ht="12.4" customHeight="1" x14ac:dyDescent="0.2">
      <c r="A8" s="827" t="s">
        <v>464</v>
      </c>
      <c r="B8" s="717"/>
      <c r="C8" s="732"/>
      <c r="D8" s="829">
        <f>D7/D4</f>
        <v>0.54010003241682136</v>
      </c>
      <c r="E8" s="829">
        <f t="shared" ref="E8:L8" si="1">E7/E4</f>
        <v>0.59787071256273261</v>
      </c>
      <c r="F8" s="829">
        <f t="shared" si="1"/>
        <v>0.62983444630790464</v>
      </c>
      <c r="G8" s="829">
        <f t="shared" si="1"/>
        <v>0.64578242394116336</v>
      </c>
      <c r="H8" s="829">
        <f t="shared" si="1"/>
        <v>0.65540422828498113</v>
      </c>
      <c r="I8" s="829">
        <f t="shared" si="1"/>
        <v>0.65912851242943948</v>
      </c>
      <c r="J8" s="829">
        <f t="shared" si="1"/>
        <v>0.6600324104271359</v>
      </c>
      <c r="K8" s="829">
        <f t="shared" si="1"/>
        <v>0.66029013334558773</v>
      </c>
      <c r="L8" s="829">
        <f t="shared" si="1"/>
        <v>0.6601693590908132</v>
      </c>
    </row>
    <row r="9" spans="1:14" s="828" customFormat="1" ht="12.4" customHeight="1" x14ac:dyDescent="0.2">
      <c r="A9" s="830"/>
      <c r="B9" s="717"/>
      <c r="C9" s="732"/>
      <c r="D9" s="829"/>
      <c r="E9" s="829"/>
      <c r="F9" s="829"/>
      <c r="G9" s="829"/>
      <c r="H9" s="829"/>
      <c r="I9" s="829"/>
      <c r="J9" s="829"/>
      <c r="K9" s="829"/>
      <c r="L9" s="829"/>
    </row>
    <row r="10" spans="1:14" s="18" customFormat="1" ht="12.4" customHeight="1" x14ac:dyDescent="0.2">
      <c r="A10" s="748"/>
      <c r="B10" s="116"/>
      <c r="C10" s="300"/>
      <c r="D10" s="300"/>
      <c r="E10" s="300"/>
      <c r="F10" s="300"/>
      <c r="G10" s="300"/>
      <c r="H10" s="300"/>
      <c r="I10" s="300"/>
      <c r="J10" s="300"/>
      <c r="K10" s="300"/>
      <c r="L10" s="300"/>
    </row>
    <row r="11" spans="1:14" ht="12.4" customHeight="1" x14ac:dyDescent="0.2">
      <c r="A11" s="784" t="s">
        <v>458</v>
      </c>
      <c r="B11"/>
      <c r="C11" s="32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12.4" customHeight="1" x14ac:dyDescent="0.2">
      <c r="A12" s="1" t="s">
        <v>363</v>
      </c>
      <c r="B12" s="788">
        <v>2016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4" ht="12.4" customHeight="1" x14ac:dyDescent="0.2">
      <c r="A13" s="1" t="s">
        <v>359</v>
      </c>
      <c r="B13" s="787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4" ht="12.4" customHeight="1" x14ac:dyDescent="0.2">
      <c r="A14" s="1" t="s">
        <v>360</v>
      </c>
      <c r="C14" s="20"/>
      <c r="D14" s="20"/>
      <c r="E14" s="93">
        <f t="shared" ref="E14:L14" si="2">$B$13*E7</f>
        <v>115987090.12499997</v>
      </c>
      <c r="F14" s="93">
        <f t="shared" si="2"/>
        <v>233292859.78349996</v>
      </c>
      <c r="G14" s="93">
        <f t="shared" si="2"/>
        <v>405218504.74200726</v>
      </c>
      <c r="H14" s="93">
        <f t="shared" si="2"/>
        <v>632040719.37710285</v>
      </c>
      <c r="I14" s="93">
        <f t="shared" si="2"/>
        <v>833104737.09910798</v>
      </c>
      <c r="J14" s="93">
        <f t="shared" si="2"/>
        <v>980510734.12614155</v>
      </c>
      <c r="K14" s="93">
        <f t="shared" si="2"/>
        <v>1119291182.9392438</v>
      </c>
      <c r="L14" s="93">
        <f t="shared" si="2"/>
        <v>1256700581.884413</v>
      </c>
      <c r="M14" s="20"/>
    </row>
    <row r="15" spans="1:14" ht="12.4" customHeight="1" x14ac:dyDescent="0.2">
      <c r="A15" s="1" t="s">
        <v>456</v>
      </c>
      <c r="B15" s="816">
        <f>DCF!B50/50</f>
        <v>2.5000000000000001E-3</v>
      </c>
      <c r="C15" s="20"/>
      <c r="D15" s="20"/>
      <c r="E15" s="93"/>
      <c r="F15" s="20"/>
      <c r="G15" s="20"/>
      <c r="H15" s="20"/>
      <c r="I15" s="20"/>
      <c r="J15" s="20"/>
      <c r="K15" s="20"/>
      <c r="L15" s="20"/>
      <c r="M15" s="20"/>
    </row>
    <row r="16" spans="1:14" ht="12.4" customHeight="1" x14ac:dyDescent="0.2">
      <c r="A16" s="1" t="s">
        <v>457</v>
      </c>
      <c r="C16" s="20"/>
      <c r="D16" s="20"/>
      <c r="E16" s="93">
        <f>$B$15*E14</f>
        <v>289967.72531249991</v>
      </c>
      <c r="F16" s="93">
        <f t="shared" ref="F16:L16" si="3">$B$15*F14</f>
        <v>583232.14945874992</v>
      </c>
      <c r="G16" s="93">
        <f t="shared" si="3"/>
        <v>1013046.2618550182</v>
      </c>
      <c r="H16" s="93">
        <f t="shared" si="3"/>
        <v>1580101.7984427572</v>
      </c>
      <c r="I16" s="93">
        <f t="shared" si="3"/>
        <v>2082761.84274777</v>
      </c>
      <c r="J16" s="93">
        <f t="shared" si="3"/>
        <v>2451276.8353153537</v>
      </c>
      <c r="K16" s="93">
        <f t="shared" si="3"/>
        <v>2798227.9573481097</v>
      </c>
      <c r="L16" s="93">
        <f t="shared" si="3"/>
        <v>3141751.4547110326</v>
      </c>
      <c r="M16" s="20"/>
    </row>
    <row r="17" spans="1:13" ht="12.4" customHeight="1" x14ac:dyDescent="0.2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2.4" customHeight="1" x14ac:dyDescent="0.2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s="18" customFormat="1" ht="12.4" customHeight="1" x14ac:dyDescent="0.2">
      <c r="A19" s="741" t="s">
        <v>372</v>
      </c>
      <c r="B19" s="116"/>
      <c r="C19" s="93">
        <f>IF(C2&lt;=$B$12,Calculations!Q118,0)</f>
        <v>0</v>
      </c>
      <c r="D19" s="93">
        <f>IF(D2&lt;=$B$12,Calculations!AD118,0)</f>
        <v>4166.666666666667</v>
      </c>
      <c r="E19" s="93">
        <f>IF(E2&lt;=$B$12,Calculations!AE118,0)</f>
        <v>4166.666666666667</v>
      </c>
      <c r="F19" s="93">
        <f>IF(F2&lt;=$B$12,Calculations!AF118,0)</f>
        <v>4166.666666666667</v>
      </c>
      <c r="G19" s="93">
        <f>IF(G2&lt;=$B$12,Calculations!AG118,0)</f>
        <v>0</v>
      </c>
      <c r="H19" s="93">
        <f>IF(H2&lt;=$B$12,Calculations!AH118,0)</f>
        <v>0</v>
      </c>
      <c r="I19" s="93">
        <f>IF(I2&lt;=$B$12,Calculations!AI118,0)</f>
        <v>0</v>
      </c>
      <c r="J19" s="93">
        <f>IF(J2&lt;=$B$12,Calculations!AJ118,0)</f>
        <v>0</v>
      </c>
      <c r="K19" s="93">
        <f>IF(K2&lt;=$B$12,Calculations!AK118,0)</f>
        <v>0</v>
      </c>
      <c r="L19" s="93">
        <f>IF(L2&lt;=$B$12,Calculations!AL118,0)</f>
        <v>0</v>
      </c>
    </row>
    <row r="20" spans="1:13" s="18" customFormat="1" ht="12.4" customHeight="1" x14ac:dyDescent="0.2">
      <c r="A20" s="741" t="s">
        <v>459</v>
      </c>
      <c r="B20" s="116"/>
      <c r="C20" s="93">
        <f>IF(C2&lt;=$B$12,Calculations!Q164*$B$15,0)</f>
        <v>0</v>
      </c>
      <c r="D20" s="93">
        <f>IF(D2&lt;=$B$12,Calculations!AD164*$B$15,0)</f>
        <v>0</v>
      </c>
      <c r="E20" s="93">
        <f>IF(E2&lt;=$B$12,Calculations!AE164*$B$15,0)</f>
        <v>0</v>
      </c>
      <c r="F20" s="93">
        <f>IF(F2&lt;=$B$12,Calculations!AF164*$B$15,0)</f>
        <v>0</v>
      </c>
      <c r="G20" s="93">
        <f>IF(G2&lt;=$B$12,Calculations!AG164*$B$15,0)</f>
        <v>0</v>
      </c>
      <c r="H20" s="93">
        <f>IF(H2&lt;=$B$12,Calculations!AH164*$B$15,0)</f>
        <v>0</v>
      </c>
      <c r="I20" s="93">
        <f>IF(I2&lt;=$B$12,Calculations!AI164*$B$15,0)</f>
        <v>0</v>
      </c>
      <c r="J20" s="93">
        <f>IF(J2&lt;=$B$12,Calculations!AJ164*$B$15,0)</f>
        <v>0</v>
      </c>
      <c r="K20" s="93">
        <f>IF(K2&lt;=$B$12,Calculations!AK164*$B$15,0)</f>
        <v>0</v>
      </c>
      <c r="L20" s="93">
        <f>IF(L2&lt;=$B$12,Calculations!AL164*$B$15,0)</f>
        <v>0</v>
      </c>
    </row>
    <row r="21" spans="1:13" ht="12.4" customHeight="1" x14ac:dyDescent="0.2">
      <c r="A21" s="741" t="s">
        <v>364</v>
      </c>
      <c r="C21" s="20"/>
      <c r="D21" s="20"/>
      <c r="E21" s="93">
        <f t="shared" ref="E21:L21" si="4">IF($B$12=E2,E16,)</f>
        <v>0</v>
      </c>
      <c r="F21" s="93">
        <f t="shared" si="4"/>
        <v>583232.14945874992</v>
      </c>
      <c r="G21" s="93">
        <f t="shared" si="4"/>
        <v>0</v>
      </c>
      <c r="H21" s="93">
        <f t="shared" si="4"/>
        <v>0</v>
      </c>
      <c r="I21" s="93">
        <f t="shared" si="4"/>
        <v>0</v>
      </c>
      <c r="J21" s="93">
        <f t="shared" si="4"/>
        <v>0</v>
      </c>
      <c r="K21" s="93">
        <f t="shared" si="4"/>
        <v>0</v>
      </c>
      <c r="L21" s="93">
        <f t="shared" si="4"/>
        <v>0</v>
      </c>
      <c r="M21" s="20"/>
    </row>
    <row r="22" spans="1:13" s="735" customFormat="1" ht="12.4" customHeight="1" x14ac:dyDescent="0.2">
      <c r="A22" s="789" t="s">
        <v>460</v>
      </c>
      <c r="B22" s="737">
        <f>SUM(B20:B21)</f>
        <v>0</v>
      </c>
      <c r="C22" s="737">
        <f>SUM(C19:C21)</f>
        <v>0</v>
      </c>
      <c r="D22" s="737">
        <f t="shared" ref="D22:L22" si="5">SUM(D19:D21)</f>
        <v>4166.666666666667</v>
      </c>
      <c r="E22" s="737">
        <f t="shared" si="5"/>
        <v>4166.666666666667</v>
      </c>
      <c r="F22" s="737">
        <f t="shared" si="5"/>
        <v>587398.81612541655</v>
      </c>
      <c r="G22" s="737">
        <f t="shared" si="5"/>
        <v>0</v>
      </c>
      <c r="H22" s="737">
        <f t="shared" si="5"/>
        <v>0</v>
      </c>
      <c r="I22" s="737">
        <f t="shared" si="5"/>
        <v>0</v>
      </c>
      <c r="J22" s="737">
        <f t="shared" si="5"/>
        <v>0</v>
      </c>
      <c r="K22" s="737">
        <f t="shared" si="5"/>
        <v>0</v>
      </c>
      <c r="L22" s="947">
        <f t="shared" si="5"/>
        <v>0</v>
      </c>
      <c r="M22" s="810"/>
    </row>
    <row r="23" spans="1:13" ht="12.4" customHeight="1" x14ac:dyDescent="0.2">
      <c r="M23" s="20"/>
    </row>
    <row r="24" spans="1:13" ht="12.4" customHeight="1" x14ac:dyDescent="0.2">
      <c r="A24" s="831" t="s">
        <v>465</v>
      </c>
      <c r="B24" s="817">
        <f>SUM(C22:L22)</f>
        <v>595732.14945874992</v>
      </c>
      <c r="M24" s="20"/>
    </row>
    <row r="25" spans="1:13" ht="12.4" customHeight="1" x14ac:dyDescent="0.2">
      <c r="M25" s="20"/>
    </row>
    <row r="28" spans="1:13" ht="12.4" customHeight="1" x14ac:dyDescent="0.2">
      <c r="B28" s="131"/>
      <c r="F28" s="820" t="s">
        <v>461</v>
      </c>
    </row>
    <row r="29" spans="1:13" ht="12.4" customHeight="1" x14ac:dyDescent="0.2">
      <c r="C29" s="821">
        <f>B24</f>
        <v>595732.14945874992</v>
      </c>
      <c r="D29" s="818">
        <f>E29-1</f>
        <v>4</v>
      </c>
      <c r="E29" s="818">
        <f>F29-1</f>
        <v>5</v>
      </c>
      <c r="F29" s="818">
        <v>6</v>
      </c>
      <c r="G29" s="818">
        <f>F29+1</f>
        <v>7</v>
      </c>
      <c r="H29" s="818">
        <f>G29+1</f>
        <v>8</v>
      </c>
    </row>
    <row r="30" spans="1:13" ht="12.4" customHeight="1" x14ac:dyDescent="0.2">
      <c r="C30" s="436">
        <v>2014</v>
      </c>
      <c r="D30" s="822">
        <f t="dataTable" ref="D30:H34" dt2D="1" dtr="0" r1="B13" r2="B12"/>
        <v>4166.666666666667</v>
      </c>
      <c r="E30" s="823">
        <v>4166.666666666667</v>
      </c>
      <c r="F30" s="823">
        <v>4166.666666666667</v>
      </c>
      <c r="G30" s="823">
        <v>4166.666666666667</v>
      </c>
      <c r="H30" s="823">
        <v>4166.666666666667</v>
      </c>
    </row>
    <row r="31" spans="1:13" ht="12.4" customHeight="1" x14ac:dyDescent="0.2">
      <c r="C31" s="436">
        <v>2015</v>
      </c>
      <c r="D31" s="824">
        <v>201645.15020833327</v>
      </c>
      <c r="E31" s="825">
        <v>249973.10442708328</v>
      </c>
      <c r="F31" s="825">
        <v>298301.05864583328</v>
      </c>
      <c r="G31" s="825">
        <v>346629.01286458329</v>
      </c>
      <c r="H31" s="825">
        <v>394956.96708333329</v>
      </c>
    </row>
    <row r="32" spans="1:13" ht="12.4" customHeight="1" x14ac:dyDescent="0.2">
      <c r="B32" s="819" t="s">
        <v>462</v>
      </c>
      <c r="C32" s="436">
        <v>2016</v>
      </c>
      <c r="D32" s="824">
        <v>401321.43297249998</v>
      </c>
      <c r="E32" s="825">
        <v>498526.79121562495</v>
      </c>
      <c r="F32" s="826">
        <v>595732.14945874992</v>
      </c>
      <c r="G32" s="825">
        <v>692937.50770187494</v>
      </c>
      <c r="H32" s="825">
        <v>790142.86594499997</v>
      </c>
    </row>
    <row r="33" spans="3:8" ht="12.4" customHeight="1" x14ac:dyDescent="0.2">
      <c r="C33" s="436">
        <v>2017</v>
      </c>
      <c r="D33" s="824">
        <v>737864.17457001214</v>
      </c>
      <c r="E33" s="825">
        <v>906705.21821251512</v>
      </c>
      <c r="F33" s="825">
        <v>1075546.2618550183</v>
      </c>
      <c r="G33" s="825">
        <v>1244387.3054975213</v>
      </c>
      <c r="H33" s="825">
        <v>1413228.3491400243</v>
      </c>
    </row>
    <row r="34" spans="3:8" ht="12.4" customHeight="1" x14ac:dyDescent="0.2">
      <c r="C34" s="436">
        <v>2018</v>
      </c>
      <c r="D34" s="824">
        <v>1165901.1989618381</v>
      </c>
      <c r="E34" s="825">
        <v>1429251.4987022979</v>
      </c>
      <c r="F34" s="825">
        <v>1692601.7984427572</v>
      </c>
      <c r="G34" s="825">
        <v>1955952.0981832168</v>
      </c>
      <c r="H34" s="825">
        <v>2219302.3979236763</v>
      </c>
    </row>
  </sheetData>
  <pageMargins left="0.75" right="0.75" top="1" bottom="1" header="0.5" footer="0.5"/>
  <pageSetup scale="53" orientation="landscape" horizontalDpi="4294967292" verticalDpi="96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workbookViewId="0">
      <selection activeCell="A4" sqref="A4"/>
    </sheetView>
  </sheetViews>
  <sheetFormatPr defaultColWidth="9.125" defaultRowHeight="12.4" customHeight="1" x14ac:dyDescent="0.2"/>
  <cols>
    <col min="1" max="1" width="31.125" style="1" customWidth="1"/>
    <col min="2" max="33" width="13.625" style="1" customWidth="1"/>
    <col min="34" max="37" width="9.125" style="1" customWidth="1"/>
    <col min="38" max="38" width="32.75" style="1" customWidth="1"/>
    <col min="39" max="39" width="15.625" style="1" customWidth="1"/>
    <col min="40" max="40" width="28.75" style="1" customWidth="1"/>
    <col min="41" max="16384" width="9.125" style="1"/>
  </cols>
  <sheetData>
    <row r="1" spans="1:40" s="75" customFormat="1" ht="16.149999999999999" customHeight="1" x14ac:dyDescent="0.2">
      <c r="A1" s="322" t="s">
        <v>100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4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4"/>
      <c r="AD1" s="323"/>
      <c r="AE1" s="324"/>
      <c r="AF1" s="323"/>
      <c r="AG1" s="324"/>
      <c r="AL1"/>
      <c r="AM1" s="22"/>
      <c r="AN1"/>
    </row>
    <row r="2" spans="1:40" ht="12.4" customHeight="1" x14ac:dyDescent="0.2">
      <c r="A2" s="325" t="s">
        <v>97</v>
      </c>
      <c r="B2" s="24"/>
      <c r="C2" s="201" t="e">
        <f>IF(PS_DateSetting=1," Month 1",DATE(PS_StartingYear,PS_StartingMonth,15))</f>
        <v>#REF!</v>
      </c>
      <c r="D2" s="201" t="e">
        <f>IF(PS_DateSetting=1," Month 2",C2+30.4)</f>
        <v>#REF!</v>
      </c>
      <c r="E2" s="201" t="e">
        <f>IF(PS_DateSetting=1," Month 3",D2+30.4)</f>
        <v>#REF!</v>
      </c>
      <c r="F2" s="201" t="e">
        <f>IF(PS_DateSetting=1," Month 4",E2+30.4)</f>
        <v>#REF!</v>
      </c>
      <c r="G2" s="201" t="e">
        <f>IF(PS_DateSetting=1," Month 5",F2+30.4)</f>
        <v>#REF!</v>
      </c>
      <c r="H2" s="201" t="e">
        <f>IF(PS_DateSetting=1," Month 6",G2+30.4)</f>
        <v>#REF!</v>
      </c>
      <c r="I2" s="201" t="e">
        <f>IF(PS_DateSetting=1," Month 7",H2+30.4)</f>
        <v>#REF!</v>
      </c>
      <c r="J2" s="201" t="e">
        <f>IF(PS_DateSetting=1," Month 8",I2+30.4)</f>
        <v>#REF!</v>
      </c>
      <c r="K2" s="201" t="e">
        <f>IF(PS_DateSetting=1," Month 9",J2+30.4)</f>
        <v>#REF!</v>
      </c>
      <c r="L2" s="201" t="e">
        <f>IF(PS_DateSetting=1," Month 10",K2+30.4)</f>
        <v>#REF!</v>
      </c>
      <c r="M2" s="201" t="e">
        <f>IF(PS_DateSetting=1," Month 11",L2+30.4)</f>
        <v>#REF!</v>
      </c>
      <c r="N2" s="201" t="e">
        <f>IF(PS_DateSetting=1," Month 12",M2+30.4)</f>
        <v>#REF!</v>
      </c>
      <c r="O2" s="202" t="e">
        <f>IF(PS_DateSetting=1," Year 1",IF(PS_StartingMonth&gt;1,"FY "&amp;PS_StartingYear+1,PS_StartingYear))</f>
        <v>#REF!</v>
      </c>
      <c r="P2" s="326"/>
      <c r="Q2" s="201" t="e">
        <f>IF(PS_DateSetting=1," Month 13",DATE(PS_StartingYear,PS_StartingMonth,15))</f>
        <v>#REF!</v>
      </c>
      <c r="R2" s="201" t="e">
        <f>IF(PS_DateSetting=1," Month 14",Q2+30.4)</f>
        <v>#REF!</v>
      </c>
      <c r="S2" s="201" t="e">
        <f>IF(PS_DateSetting=1," Month 15",R2+30.4)</f>
        <v>#REF!</v>
      </c>
      <c r="T2" s="201" t="e">
        <f>IF(PS_DateSetting=1," Month 16",S2+30.4)</f>
        <v>#REF!</v>
      </c>
      <c r="U2" s="201" t="e">
        <f>IF(PS_DateSetting=1," Month 17",T2+30.4)</f>
        <v>#REF!</v>
      </c>
      <c r="V2" s="201" t="e">
        <f>IF(PS_DateSetting=1," Month 18",U2+30.4)</f>
        <v>#REF!</v>
      </c>
      <c r="W2" s="201" t="e">
        <f>IF(PS_DateSetting=1," Month 19",V2+30.4)</f>
        <v>#REF!</v>
      </c>
      <c r="X2" s="201" t="e">
        <f>IF(PS_DateSetting=1," Month 20",W2+30.4)</f>
        <v>#REF!</v>
      </c>
      <c r="Y2" s="201" t="e">
        <f>IF(PS_DateSetting=1," Month 21",X2+30.4)</f>
        <v>#REF!</v>
      </c>
      <c r="Z2" s="201" t="e">
        <f>IF(PS_DateSetting=1," Month 22",Y2+30.4)</f>
        <v>#REF!</v>
      </c>
      <c r="AA2" s="201" t="e">
        <f>IF(PS_DateSetting=1," Month 23",Z2+30.4)</f>
        <v>#REF!</v>
      </c>
      <c r="AB2" s="201" t="e">
        <f>IF(PS_DateSetting=1," Month 24",AA2+30.4)</f>
        <v>#REF!</v>
      </c>
      <c r="AC2" s="202" t="e">
        <f>IF(PS_DateSetting=1," Year 2",IF(PS_StartingMonth&gt;1,"FY "&amp;PS_StartingYear+2,PS_StartingYear+1))</f>
        <v>#REF!</v>
      </c>
      <c r="AD2" s="203" t="e">
        <f>IF(PS_DateSetting=1," Year 2",IF(PS_StartingMonth&gt;1,"FY "&amp;PS_StartingYear+2,PS_StartingYear+1))</f>
        <v>#REF!</v>
      </c>
      <c r="AE2" s="202" t="e">
        <f>IF(PS_DateSetting=1," Year 3",IF(PS_StartingMonth&gt;1,"FY "&amp;PS_StartingYear+3,PS_StartingYear+2))</f>
        <v>#REF!</v>
      </c>
      <c r="AF2" s="204" t="e">
        <f>IF(PS_DateSetting=1," Year 4",IF(PS_StartingMonth&gt;1,"FY "&amp;PS_StartingYear+4,PS_StartingYear+3))</f>
        <v>#REF!</v>
      </c>
      <c r="AG2" s="202" t="e">
        <f>IF(PS_DateSetting=1," Year 5",IF(PS_StartingMonth&gt;1,"FY "&amp;PS_StartingYear+5,PS_StartingYear+4))</f>
        <v>#REF!</v>
      </c>
      <c r="AH2" s="18"/>
      <c r="AI2" s="18"/>
      <c r="AJ2" s="18"/>
      <c r="AK2" s="18"/>
      <c r="AL2"/>
      <c r="AM2" s="22"/>
      <c r="AN2"/>
    </row>
    <row r="3" spans="1:40" ht="16.149999999999999" customHeight="1" x14ac:dyDescent="0.2">
      <c r="A3" s="327" t="s">
        <v>42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37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237"/>
      <c r="AD3" s="74"/>
      <c r="AE3" s="237"/>
      <c r="AF3" s="74"/>
      <c r="AG3" s="237"/>
      <c r="AL3"/>
      <c r="AM3" s="22"/>
      <c r="AN3"/>
    </row>
    <row r="4" spans="1:40" ht="12.4" customHeight="1" x14ac:dyDescent="0.2">
      <c r="A4" s="182" t="s">
        <v>136</v>
      </c>
      <c r="B4" s="93"/>
      <c r="C4" s="93">
        <f t="shared" ref="C4:N4" si="0">net_profit</f>
        <v>-200</v>
      </c>
      <c r="D4" s="93">
        <f t="shared" si="0"/>
        <v>-52500</v>
      </c>
      <c r="E4" s="93">
        <f t="shared" si="0"/>
        <v>-200</v>
      </c>
      <c r="F4" s="93">
        <f t="shared" si="0"/>
        <v>-200</v>
      </c>
      <c r="G4" s="93">
        <f t="shared" si="0"/>
        <v>-53100</v>
      </c>
      <c r="H4" s="93">
        <f t="shared" si="0"/>
        <v>-237427.41666666666</v>
      </c>
      <c r="I4" s="93">
        <f t="shared" si="0"/>
        <v>-200092.08333333334</v>
      </c>
      <c r="J4" s="93">
        <f t="shared" si="0"/>
        <v>-176092.08333333334</v>
      </c>
      <c r="K4" s="93">
        <f t="shared" si="0"/>
        <v>-32092.083333333336</v>
      </c>
      <c r="L4" s="93">
        <f t="shared" si="0"/>
        <v>-27092.083333333336</v>
      </c>
      <c r="M4" s="93">
        <f t="shared" si="0"/>
        <v>-27092.083333333336</v>
      </c>
      <c r="N4" s="93">
        <f t="shared" si="0"/>
        <v>-53519.166666666664</v>
      </c>
      <c r="O4" s="94">
        <f t="shared" ref="O4:O13" si="1">SUM(C4:N4)</f>
        <v>-859607.00000000012</v>
      </c>
      <c r="P4" s="93"/>
      <c r="Q4" s="93">
        <f t="shared" ref="Q4:AB4" si="2">net_profit</f>
        <v>-56221.166666666664</v>
      </c>
      <c r="R4" s="93">
        <f t="shared" si="2"/>
        <v>-60721.166666666664</v>
      </c>
      <c r="S4" s="93">
        <f t="shared" si="2"/>
        <v>-60721.166666666664</v>
      </c>
      <c r="T4" s="93">
        <f t="shared" si="2"/>
        <v>-1038108.8333333333</v>
      </c>
      <c r="U4" s="93">
        <f t="shared" si="2"/>
        <v>-246388.00000000003</v>
      </c>
      <c r="V4" s="93">
        <f t="shared" si="2"/>
        <v>-262888</v>
      </c>
      <c r="W4" s="93">
        <f t="shared" si="2"/>
        <v>243653.66666666683</v>
      </c>
      <c r="X4" s="93">
        <f t="shared" si="2"/>
        <v>338528.66666666674</v>
      </c>
      <c r="Y4" s="93">
        <f t="shared" si="2"/>
        <v>423570.33333333337</v>
      </c>
      <c r="Z4" s="93">
        <f t="shared" si="2"/>
        <v>515445.33333333337</v>
      </c>
      <c r="AA4" s="93">
        <f t="shared" si="2"/>
        <v>282530.12083333323</v>
      </c>
      <c r="AB4" s="93">
        <f t="shared" si="2"/>
        <v>449719.77916666667</v>
      </c>
      <c r="AC4" s="94">
        <f t="shared" ref="AC4:AC13" si="3">SUM(Q4:AB4)</f>
        <v>528399.56666666688</v>
      </c>
      <c r="AD4" s="93">
        <f>net_profit</f>
        <v>569157.27916666679</v>
      </c>
      <c r="AE4" s="94">
        <f>net_profit</f>
        <v>628876.02916666679</v>
      </c>
      <c r="AF4" s="93">
        <f>net_profit</f>
        <v>688594.77916666679</v>
      </c>
      <c r="AG4" s="94">
        <f>net_profit</f>
        <v>4140238.5166666675</v>
      </c>
      <c r="AL4"/>
      <c r="AM4" s="22"/>
      <c r="AN4"/>
    </row>
    <row r="5" spans="1:40" ht="12.4" customHeight="1" x14ac:dyDescent="0.2">
      <c r="A5" s="328" t="s">
        <v>244</v>
      </c>
      <c r="B5" s="93"/>
      <c r="C5" s="93">
        <f t="shared" ref="C5:N5" si="4">depreciation</f>
        <v>200</v>
      </c>
      <c r="D5" s="93">
        <f t="shared" si="4"/>
        <v>200</v>
      </c>
      <c r="E5" s="93">
        <f t="shared" si="4"/>
        <v>200</v>
      </c>
      <c r="F5" s="93">
        <f t="shared" si="4"/>
        <v>200</v>
      </c>
      <c r="G5" s="93">
        <f t="shared" si="4"/>
        <v>800</v>
      </c>
      <c r="H5" s="93">
        <f t="shared" si="4"/>
        <v>133.33333333333334</v>
      </c>
      <c r="I5" s="93">
        <f t="shared" si="4"/>
        <v>133.33333333333334</v>
      </c>
      <c r="J5" s="93">
        <f t="shared" si="4"/>
        <v>133.33333333333334</v>
      </c>
      <c r="K5" s="93">
        <f t="shared" si="4"/>
        <v>133.33333333333334</v>
      </c>
      <c r="L5" s="93">
        <f t="shared" si="4"/>
        <v>133.33333333333334</v>
      </c>
      <c r="M5" s="93">
        <f t="shared" si="4"/>
        <v>133.33333333333334</v>
      </c>
      <c r="N5" s="93">
        <f t="shared" si="4"/>
        <v>133.33333333333334</v>
      </c>
      <c r="O5" s="94">
        <f t="shared" si="1"/>
        <v>2533.3333333333335</v>
      </c>
      <c r="P5" s="93"/>
      <c r="Q5" s="93">
        <f t="shared" ref="Q5:AB5" si="5">depreciation</f>
        <v>133.33333333333334</v>
      </c>
      <c r="R5" s="93">
        <f t="shared" si="5"/>
        <v>133.33333333333334</v>
      </c>
      <c r="S5" s="93">
        <f t="shared" si="5"/>
        <v>133.33333333333334</v>
      </c>
      <c r="T5" s="93">
        <f t="shared" si="5"/>
        <v>1600</v>
      </c>
      <c r="U5" s="93">
        <f t="shared" si="5"/>
        <v>183.33333333333334</v>
      </c>
      <c r="V5" s="93">
        <f t="shared" si="5"/>
        <v>183.33333333333334</v>
      </c>
      <c r="W5" s="93">
        <f t="shared" si="5"/>
        <v>183.33333333333334</v>
      </c>
      <c r="X5" s="93">
        <f t="shared" si="5"/>
        <v>183.33333333333334</v>
      </c>
      <c r="Y5" s="93">
        <f t="shared" si="5"/>
        <v>183.33333333333334</v>
      </c>
      <c r="Z5" s="93">
        <f t="shared" si="5"/>
        <v>183.33333333333334</v>
      </c>
      <c r="AA5" s="93">
        <f t="shared" si="5"/>
        <v>183.33333333333334</v>
      </c>
      <c r="AB5" s="93">
        <f t="shared" si="5"/>
        <v>183.33333333333334</v>
      </c>
      <c r="AC5" s="94">
        <f t="shared" si="3"/>
        <v>3466.6666666666679</v>
      </c>
      <c r="AD5" s="93">
        <f>depreciation</f>
        <v>183.33333333333334</v>
      </c>
      <c r="AE5" s="94">
        <f>depreciation</f>
        <v>183.33333333333334</v>
      </c>
      <c r="AF5" s="93">
        <f>depreciation</f>
        <v>183.33333333333334</v>
      </c>
      <c r="AG5" s="94">
        <f>depreciation</f>
        <v>2200</v>
      </c>
      <c r="AL5"/>
      <c r="AM5" s="22"/>
      <c r="AN5"/>
    </row>
    <row r="6" spans="1:40" s="34" customFormat="1" ht="12.4" customHeight="1" x14ac:dyDescent="0.2">
      <c r="A6" s="329" t="s">
        <v>156</v>
      </c>
      <c r="B6" s="44"/>
      <c r="C6" s="44">
        <f>IF(Balance!H19-Balance!B19&gt;0,Balance!H19-Balance!B19,0)</f>
        <v>222043.66666666666</v>
      </c>
      <c r="D6" s="44">
        <f>IF(Balance!I19-Balance!H19&gt;0,Balance!I19-Balance!H19,0)</f>
        <v>0</v>
      </c>
      <c r="E6" s="44">
        <f>IF(Balance!J19-Balance!I19&gt;0,Balance!J19-Balance!I19,0)</f>
        <v>0</v>
      </c>
      <c r="F6" s="44">
        <f>IF(Balance!K19-Balance!J19&gt;0,Balance!K19-Balance!J19,0)</f>
        <v>0</v>
      </c>
      <c r="G6" s="44">
        <f>IF(Balance!L19-Balance!K19&gt;0,Balance!L19-Balance!K19,0)</f>
        <v>0</v>
      </c>
      <c r="H6" s="44">
        <f>IF(Balance!M19-Balance!L19&gt;0,Balance!M19-Balance!L19,0)</f>
        <v>0</v>
      </c>
      <c r="I6" s="44">
        <f>IF(Balance!N19-Balance!M19&gt;0,Balance!N19-Balance!M19,0)</f>
        <v>1499.9999999999982</v>
      </c>
      <c r="J6" s="44">
        <f>IF(Balance!O19-Balance!N19&gt;0,Balance!O19-Balance!N19,0)</f>
        <v>0</v>
      </c>
      <c r="K6" s="44">
        <f>IF(Balance!P19-Balance!O19&gt;0,Balance!P19-Balance!O19,0)</f>
        <v>0</v>
      </c>
      <c r="L6" s="44">
        <f>IF(Balance!Q19-Balance!P19&gt;0,Balance!Q19-Balance!P19,0)</f>
        <v>2702</v>
      </c>
      <c r="M6" s="44">
        <f>IF(Balance!R19-Balance!Q19&gt;0,Balance!R19-Balance!Q19,0)</f>
        <v>4499.9999999999982</v>
      </c>
      <c r="N6" s="44">
        <f>IF(Balance!S19-Balance!R19&gt;0,Balance!S19-Balance!R19,0)</f>
        <v>0</v>
      </c>
      <c r="O6" s="45">
        <f t="shared" si="1"/>
        <v>230745.66666666666</v>
      </c>
      <c r="P6" s="44"/>
      <c r="Q6" s="44">
        <f>IF(Balance!U19-Balance!T19&gt;0,Balance!U19-Balance!T19,0)</f>
        <v>132556.83333333334</v>
      </c>
      <c r="R6" s="44">
        <f>IF(Balance!V19-Balance!U19&gt;0,Balance!V19-Balance!U19,0)</f>
        <v>16500.000000000029</v>
      </c>
      <c r="S6" s="44">
        <f>IF(Balance!W19-Balance!V19&gt;0,Balance!W19-Balance!V19,0)</f>
        <v>71895.833333333343</v>
      </c>
      <c r="T6" s="44">
        <f>IF(Balance!X19-Balance!W19&gt;0,Balance!X19-Balance!W19,0)</f>
        <v>33562.499999999942</v>
      </c>
      <c r="U6" s="44">
        <f>IF(Balance!Y19-Balance!X19&gt;0,Balance!Y19-Balance!X19,0)</f>
        <v>28395.833333333314</v>
      </c>
      <c r="V6" s="44">
        <f>IF(Balance!Z19-Balance!Y19&gt;0,Balance!Z19-Balance!Y19,0)</f>
        <v>6562.5</v>
      </c>
      <c r="W6" s="44">
        <f>IF(Balance!AA19-Balance!Z19&gt;0,Balance!AA19-Balance!Z19,0)</f>
        <v>273564.50000000012</v>
      </c>
      <c r="X6" s="44">
        <f>IF(Balance!AB19-Balance!AA19&gt;0,Balance!AB19-Balance!AA19,0)</f>
        <v>0</v>
      </c>
      <c r="Y6" s="44">
        <f>IF(Balance!AC19-Balance!AB19&gt;0,Balance!AC19-Balance!AB19,0)</f>
        <v>6562.5</v>
      </c>
      <c r="Z6" s="44">
        <f>IF(Balance!AD19-Balance!AC19&gt;0,Balance!AD19-Balance!AC19,0)</f>
        <v>6562.5</v>
      </c>
      <c r="AA6" s="44">
        <f>IF(Balance!AE19-Balance!AD19&gt;0,Balance!AE19-Balance!AD19,0)</f>
        <v>6562.5</v>
      </c>
      <c r="AB6" s="44">
        <f>IF(Balance!AF19-Balance!AE19&gt;0,Balance!AF19-Balance!AE19,0)</f>
        <v>0</v>
      </c>
      <c r="AC6" s="45">
        <f t="shared" si="3"/>
        <v>582725.50000000012</v>
      </c>
      <c r="AD6" s="44" t="e">
        <f>IF(Balance!#REF!-Balance!T19&gt;0,Balance!#REF!-Balance!T19,0)</f>
        <v>#REF!</v>
      </c>
      <c r="AE6" s="45" t="e">
        <f>IF(Balance!AH19-IF(PS_AnnualDetail,Balance!AG19,Balance!#REF!)&gt;0,Balance!AH19-IF(PS_AnnualDetail,Balance!AG19,Balance!#REF!),0)</f>
        <v>#REF!</v>
      </c>
      <c r="AF6" s="44">
        <f>IF(Balance!AI19-Balance!AH19&gt;0,Balance!AI19-Balance!AH19,0)</f>
        <v>790551.46460416645</v>
      </c>
      <c r="AG6" s="45">
        <f>IF(Balance!AJ19-Balance!AI19&gt;0,Balance!AJ19-Balance!AI19,0)</f>
        <v>1152468.8826936474</v>
      </c>
      <c r="AL6"/>
      <c r="AM6" s="38"/>
      <c r="AN6"/>
    </row>
    <row r="7" spans="1:40" s="34" customFormat="1" ht="12.4" customHeight="1" x14ac:dyDescent="0.2">
      <c r="A7" s="329" t="s">
        <v>112</v>
      </c>
      <c r="B7" s="44"/>
      <c r="C7" s="44">
        <f>IF(Balance!B7-Balance!H7&gt;0,Balance!B7-Balance!H7,0)</f>
        <v>0</v>
      </c>
      <c r="D7" s="44">
        <f>IF(Balance!H7-Balance!I7&gt;0,Balance!H7-Balance!I7,0)</f>
        <v>0</v>
      </c>
      <c r="E7" s="44">
        <f>IF(Balance!I7-Balance!J7&gt;0,Balance!I7-Balance!J7,0)</f>
        <v>0</v>
      </c>
      <c r="F7" s="44">
        <f>IF(Balance!J7-Balance!K7&gt;0,Balance!J7-Balance!K7,0)</f>
        <v>0</v>
      </c>
      <c r="G7" s="44">
        <f>IF(Balance!K7-Balance!L7&gt;0,Balance!K7-Balance!L7,0)</f>
        <v>0</v>
      </c>
      <c r="H7" s="44">
        <f>IF(Balance!L7-Balance!M7&gt;0,Balance!L7-Balance!M7,0)</f>
        <v>0</v>
      </c>
      <c r="I7" s="44">
        <f>IF(Balance!M7-Balance!N7&gt;0,Balance!M7-Balance!N7,0)</f>
        <v>0</v>
      </c>
      <c r="J7" s="44">
        <f>IF(Balance!N7-Balance!O7&gt;0,Balance!N7-Balance!O7,0)</f>
        <v>0</v>
      </c>
      <c r="K7" s="44">
        <f>IF(Balance!O7-Balance!P7&gt;0,Balance!O7-Balance!P7,0)</f>
        <v>0</v>
      </c>
      <c r="L7" s="44">
        <f>IF(Balance!P7-Balance!Q7&gt;0,Balance!P7-Balance!Q7,0)</f>
        <v>0</v>
      </c>
      <c r="M7" s="44">
        <f>IF(Balance!Q7-Balance!R7&gt;0,Balance!Q7-Balance!R7,0)</f>
        <v>0</v>
      </c>
      <c r="N7" s="44">
        <f>IF(Balance!R7-Balance!S7&gt;0,Balance!R7-Balance!S7,0)</f>
        <v>0</v>
      </c>
      <c r="O7" s="45">
        <f t="shared" si="1"/>
        <v>0</v>
      </c>
      <c r="P7" s="44"/>
      <c r="Q7" s="44">
        <f>IF(Balance!T7-Balance!U7&gt;0,Balance!T7-Balance!U7,0)</f>
        <v>0</v>
      </c>
      <c r="R7" s="44">
        <f>IF(Balance!U7-Balance!V7&gt;0,Balance!U7-Balance!V7,0)</f>
        <v>0</v>
      </c>
      <c r="S7" s="44">
        <f>IF(Balance!V7-Balance!W7&gt;0,Balance!V7-Balance!W7,0)</f>
        <v>0</v>
      </c>
      <c r="T7" s="44">
        <f>IF(Balance!W7-Balance!X7&gt;0,Balance!W7-Balance!X7,0)</f>
        <v>0</v>
      </c>
      <c r="U7" s="44">
        <f>IF(Balance!X7-Balance!Y7&gt;0,Balance!X7-Balance!Y7,0)</f>
        <v>0</v>
      </c>
      <c r="V7" s="44">
        <f>IF(Balance!Y7-Balance!Z7&gt;0,Balance!Y7-Balance!Z7,0)</f>
        <v>0</v>
      </c>
      <c r="W7" s="44">
        <f>IF(Balance!Z7-Balance!AA7&gt;0,Balance!Z7-Balance!AA7,0)</f>
        <v>0</v>
      </c>
      <c r="X7" s="44">
        <f>IF(Balance!AA7-Balance!AB7&gt;0,Balance!AA7-Balance!AB7,0)</f>
        <v>0</v>
      </c>
      <c r="Y7" s="44">
        <f>IF(Balance!AB7-Balance!AC7&gt;0,Balance!AB7-Balance!AC7,0)</f>
        <v>0</v>
      </c>
      <c r="Z7" s="44">
        <f>IF(Balance!AC7-Balance!AD7&gt;0,Balance!AC7-Balance!AD7,0)</f>
        <v>0</v>
      </c>
      <c r="AA7" s="44">
        <f>IF(Balance!AD7-Balance!AE7&gt;0,Balance!AD7-Balance!AE7,0)</f>
        <v>0</v>
      </c>
      <c r="AB7" s="44">
        <f>IF(Balance!AE7-Balance!AF7&gt;0,Balance!AE7-Balance!AF7,0)</f>
        <v>0</v>
      </c>
      <c r="AC7" s="45">
        <f t="shared" si="3"/>
        <v>0</v>
      </c>
      <c r="AD7" s="44" t="e">
        <f>IF(Balance!T7-Balance!#REF!&gt;0,Balance!T7-Balance!#REF!,0)</f>
        <v>#REF!</v>
      </c>
      <c r="AE7" s="45" t="e">
        <f>IF(IF(PS_AnnualDetail,Balance!AG7,Balance!#REF!)-Balance!AH7&gt;0,IF(PS_AnnualDetail,Balance!AG7,Balance!#REF!)-Balance!AH7,0)</f>
        <v>#REF!</v>
      </c>
      <c r="AF7" s="44">
        <f>IF(Balance!AH7-Balance!AI7&gt;0,Balance!AH7-Balance!AI7,0)</f>
        <v>0</v>
      </c>
      <c r="AG7" s="45">
        <f>IF(Balance!AI7-Balance!AJ7&gt;0,Balance!AI7-Balance!AJ7,0)</f>
        <v>0</v>
      </c>
      <c r="AL7"/>
      <c r="AM7" s="38"/>
      <c r="AN7"/>
    </row>
    <row r="8" spans="1:40" s="34" customFormat="1" ht="12.4" customHeight="1" x14ac:dyDescent="0.2">
      <c r="A8" s="329" t="s">
        <v>144</v>
      </c>
      <c r="B8" s="44"/>
      <c r="C8" s="44">
        <f>IF(Balance!B8-Balance!H8&gt;0,Balance!B8-Balance!H8,0)</f>
        <v>0</v>
      </c>
      <c r="D8" s="44">
        <f>IF(Balance!H8-Balance!I8&gt;0,Balance!H8-Balance!I8,0)</f>
        <v>0</v>
      </c>
      <c r="E8" s="44">
        <f>IF(Balance!I8-Balance!J8&gt;0,Balance!I8-Balance!J8,0)</f>
        <v>0</v>
      </c>
      <c r="F8" s="44">
        <f>IF(Balance!J8-Balance!K8&gt;0,Balance!J8-Balance!K8,0)</f>
        <v>0</v>
      </c>
      <c r="G8" s="44">
        <f>IF(Balance!K8-Balance!L8&gt;0,Balance!K8-Balance!L8,0)</f>
        <v>0</v>
      </c>
      <c r="H8" s="44">
        <f>IF(Balance!L8-Balance!M8&gt;0,Balance!L8-Balance!M8,0)</f>
        <v>0</v>
      </c>
      <c r="I8" s="44">
        <f>IF(Balance!M8-Balance!N8&gt;0,Balance!M8-Balance!N8,0)</f>
        <v>0</v>
      </c>
      <c r="J8" s="44">
        <f>IF(Balance!N8-Balance!O8&gt;0,Balance!N8-Balance!O8,0)</f>
        <v>0</v>
      </c>
      <c r="K8" s="44">
        <f>IF(Balance!O8-Balance!P8&gt;0,Balance!O8-Balance!P8,0)</f>
        <v>0</v>
      </c>
      <c r="L8" s="44">
        <f>IF(Balance!P8-Balance!Q8&gt;0,Balance!P8-Balance!Q8,0)</f>
        <v>0</v>
      </c>
      <c r="M8" s="44">
        <f>IF(Balance!Q8-Balance!R8&gt;0,Balance!Q8-Balance!R8,0)</f>
        <v>0</v>
      </c>
      <c r="N8" s="44">
        <f>IF(Balance!R8-Balance!S8&gt;0,Balance!R8-Balance!S8,0)</f>
        <v>0</v>
      </c>
      <c r="O8" s="45">
        <f t="shared" si="1"/>
        <v>0</v>
      </c>
      <c r="P8" s="44"/>
      <c r="Q8" s="44">
        <f>IF(Balance!T8-Balance!U8&gt;0,Balance!T8-Balance!U8,0)</f>
        <v>0</v>
      </c>
      <c r="R8" s="44">
        <f>IF(Balance!U8-Balance!V8&gt;0,Balance!U8-Balance!V8,0)</f>
        <v>0</v>
      </c>
      <c r="S8" s="44">
        <f>IF(Balance!V8-Balance!W8&gt;0,Balance!V8-Balance!W8,0)</f>
        <v>0</v>
      </c>
      <c r="T8" s="44">
        <f>IF(Balance!W8-Balance!X8&gt;0,Balance!W8-Balance!X8,0)</f>
        <v>0</v>
      </c>
      <c r="U8" s="44">
        <f>IF(Balance!X8-Balance!Y8&gt;0,Balance!X8-Balance!Y8,0)</f>
        <v>0</v>
      </c>
      <c r="V8" s="44">
        <f>IF(Balance!Y8-Balance!Z8&gt;0,Balance!Y8-Balance!Z8,0)</f>
        <v>0</v>
      </c>
      <c r="W8" s="44">
        <f>IF(Balance!Z8-Balance!AA8&gt;0,Balance!Z8-Balance!AA8,0)</f>
        <v>0</v>
      </c>
      <c r="X8" s="44">
        <f>IF(Balance!AA8-Balance!AB8&gt;0,Balance!AA8-Balance!AB8,0)</f>
        <v>0</v>
      </c>
      <c r="Y8" s="44">
        <f>IF(Balance!AB8-Balance!AC8&gt;0,Balance!AB8-Balance!AC8,0)</f>
        <v>0</v>
      </c>
      <c r="Z8" s="44">
        <f>IF(Balance!AC8-Balance!AD8&gt;0,Balance!AC8-Balance!AD8,0)</f>
        <v>0</v>
      </c>
      <c r="AA8" s="44">
        <f>IF(Balance!AD8-Balance!AE8&gt;0,Balance!AD8-Balance!AE8,0)</f>
        <v>0</v>
      </c>
      <c r="AB8" s="44">
        <f>IF(Balance!AE8-Balance!AF8&gt;0,Balance!AE8-Balance!AF8,0)</f>
        <v>263632.8125</v>
      </c>
      <c r="AC8" s="45">
        <f t="shared" si="3"/>
        <v>263632.8125</v>
      </c>
      <c r="AD8" s="44" t="e">
        <f>IF(Balance!T8-Balance!#REF!&gt;0,Balance!T8-Balance!#REF!,0)</f>
        <v>#REF!</v>
      </c>
      <c r="AE8" s="45" t="e">
        <f>IF(IF(PS_AnnualDetail,Balance!AG8,Balance!#REF!)-Balance!AH8&gt;0,IF(PS_AnnualDetail,Balance!AG8,Balance!#REF!)-Balance!AH8,0)</f>
        <v>#REF!</v>
      </c>
      <c r="AF8" s="44">
        <f>IF(Balance!AH8-Balance!AI8&gt;0,Balance!AH8-Balance!AI8,0)</f>
        <v>0</v>
      </c>
      <c r="AG8" s="45">
        <f>IF(Balance!AI8-Balance!AJ8&gt;0,Balance!AI8-Balance!AJ8,0)</f>
        <v>0</v>
      </c>
      <c r="AL8"/>
      <c r="AM8" s="38"/>
      <c r="AN8"/>
    </row>
    <row r="9" spans="1:40" ht="12.4" customHeight="1" x14ac:dyDescent="0.2">
      <c r="A9" s="328" t="s">
        <v>16</v>
      </c>
      <c r="B9" s="93"/>
      <c r="C9" s="93" t="e">
        <f>SUM('Cash Flow'!#REF!)</f>
        <v>#REF!</v>
      </c>
      <c r="D9" s="93" t="e">
        <f>SUM('Cash Flow'!#REF!)</f>
        <v>#REF!</v>
      </c>
      <c r="E9" s="93" t="e">
        <f>SUM('Cash Flow'!#REF!)</f>
        <v>#REF!</v>
      </c>
      <c r="F9" s="93" t="e">
        <f>SUM('Cash Flow'!#REF!)</f>
        <v>#REF!</v>
      </c>
      <c r="G9" s="93" t="e">
        <f>SUM('Cash Flow'!#REF!)</f>
        <v>#REF!</v>
      </c>
      <c r="H9" s="93" t="e">
        <f>SUM('Cash Flow'!#REF!)</f>
        <v>#REF!</v>
      </c>
      <c r="I9" s="93" t="e">
        <f>SUM('Cash Flow'!#REF!)</f>
        <v>#REF!</v>
      </c>
      <c r="J9" s="93" t="e">
        <f>SUM('Cash Flow'!#REF!)</f>
        <v>#REF!</v>
      </c>
      <c r="K9" s="93" t="e">
        <f>SUM('Cash Flow'!#REF!)</f>
        <v>#REF!</v>
      </c>
      <c r="L9" s="93" t="e">
        <f>SUM('Cash Flow'!#REF!)</f>
        <v>#REF!</v>
      </c>
      <c r="M9" s="93" t="e">
        <f>SUM('Cash Flow'!#REF!)</f>
        <v>#REF!</v>
      </c>
      <c r="N9" s="93" t="e">
        <f>SUM('Cash Flow'!#REF!)</f>
        <v>#REF!</v>
      </c>
      <c r="O9" s="94" t="e">
        <f t="shared" si="1"/>
        <v>#REF!</v>
      </c>
      <c r="P9" s="93"/>
      <c r="Q9" s="93" t="e">
        <f>SUM('Cash Flow'!#REF!)</f>
        <v>#REF!</v>
      </c>
      <c r="R9" s="93" t="e">
        <f>SUM('Cash Flow'!#REF!)</f>
        <v>#REF!</v>
      </c>
      <c r="S9" s="93" t="e">
        <f>SUM('Cash Flow'!#REF!)</f>
        <v>#REF!</v>
      </c>
      <c r="T9" s="93" t="e">
        <f>SUM('Cash Flow'!#REF!)</f>
        <v>#REF!</v>
      </c>
      <c r="U9" s="93" t="e">
        <f>SUM('Cash Flow'!#REF!)</f>
        <v>#REF!</v>
      </c>
      <c r="V9" s="93" t="e">
        <f>SUM('Cash Flow'!#REF!)</f>
        <v>#REF!</v>
      </c>
      <c r="W9" s="93" t="e">
        <f>SUM('Cash Flow'!#REF!)</f>
        <v>#REF!</v>
      </c>
      <c r="X9" s="93" t="e">
        <f>SUM('Cash Flow'!#REF!)</f>
        <v>#REF!</v>
      </c>
      <c r="Y9" s="93" t="e">
        <f>SUM('Cash Flow'!#REF!)</f>
        <v>#REF!</v>
      </c>
      <c r="Z9" s="93" t="e">
        <f>SUM('Cash Flow'!#REF!)</f>
        <v>#REF!</v>
      </c>
      <c r="AA9" s="93" t="e">
        <f>SUM('Cash Flow'!#REF!)</f>
        <v>#REF!</v>
      </c>
      <c r="AB9" s="93" t="e">
        <f>SUM('Cash Flow'!#REF!)</f>
        <v>#REF!</v>
      </c>
      <c r="AC9" s="94" t="e">
        <f t="shared" si="3"/>
        <v>#REF!</v>
      </c>
      <c r="AD9" s="93" t="e">
        <f>SUM('Cash Flow'!#REF!)</f>
        <v>#REF!</v>
      </c>
      <c r="AE9" s="94" t="e">
        <f>SUM('Cash Flow'!#REF!)</f>
        <v>#REF!</v>
      </c>
      <c r="AF9" s="93" t="e">
        <f>SUM('Cash Flow'!#REF!)</f>
        <v>#REF!</v>
      </c>
      <c r="AG9" s="94" t="e">
        <f>SUM('Cash Flow'!#REF!)</f>
        <v>#REF!</v>
      </c>
      <c r="AL9"/>
      <c r="AM9" s="22"/>
      <c r="AN9"/>
    </row>
    <row r="10" spans="1:40" ht="12.4" customHeight="1" x14ac:dyDescent="0.2">
      <c r="A10" s="328" t="s">
        <v>189</v>
      </c>
      <c r="B10" s="93"/>
      <c r="C10" s="93" t="e">
        <f>'Cash Flow'!#REF!</f>
        <v>#REF!</v>
      </c>
      <c r="D10" s="93" t="e">
        <f>'Cash Flow'!#REF!</f>
        <v>#REF!</v>
      </c>
      <c r="E10" s="93" t="e">
        <f>'Cash Flow'!#REF!</f>
        <v>#REF!</v>
      </c>
      <c r="F10" s="93" t="e">
        <f>'Cash Flow'!#REF!</f>
        <v>#REF!</v>
      </c>
      <c r="G10" s="93" t="e">
        <f>'Cash Flow'!#REF!</f>
        <v>#REF!</v>
      </c>
      <c r="H10" s="93" t="e">
        <f>'Cash Flow'!#REF!</f>
        <v>#REF!</v>
      </c>
      <c r="I10" s="93" t="e">
        <f>'Cash Flow'!#REF!</f>
        <v>#REF!</v>
      </c>
      <c r="J10" s="93" t="e">
        <f>'Cash Flow'!#REF!</f>
        <v>#REF!</v>
      </c>
      <c r="K10" s="93" t="e">
        <f>'Cash Flow'!#REF!</f>
        <v>#REF!</v>
      </c>
      <c r="L10" s="93" t="e">
        <f>'Cash Flow'!#REF!</f>
        <v>#REF!</v>
      </c>
      <c r="M10" s="93" t="e">
        <f>'Cash Flow'!#REF!</f>
        <v>#REF!</v>
      </c>
      <c r="N10" s="93" t="e">
        <f>'Cash Flow'!#REF!</f>
        <v>#REF!</v>
      </c>
      <c r="O10" s="94" t="e">
        <f t="shared" si="1"/>
        <v>#REF!</v>
      </c>
      <c r="P10" s="93"/>
      <c r="Q10" s="93" t="e">
        <f>'Cash Flow'!#REF!</f>
        <v>#REF!</v>
      </c>
      <c r="R10" s="93" t="e">
        <f>'Cash Flow'!#REF!</f>
        <v>#REF!</v>
      </c>
      <c r="S10" s="93" t="e">
        <f>'Cash Flow'!#REF!</f>
        <v>#REF!</v>
      </c>
      <c r="T10" s="93" t="e">
        <f>'Cash Flow'!#REF!</f>
        <v>#REF!</v>
      </c>
      <c r="U10" s="93" t="e">
        <f>'Cash Flow'!#REF!</f>
        <v>#REF!</v>
      </c>
      <c r="V10" s="93" t="e">
        <f>'Cash Flow'!#REF!</f>
        <v>#REF!</v>
      </c>
      <c r="W10" s="93" t="e">
        <f>'Cash Flow'!#REF!</f>
        <v>#REF!</v>
      </c>
      <c r="X10" s="93" t="e">
        <f>'Cash Flow'!#REF!</f>
        <v>#REF!</v>
      </c>
      <c r="Y10" s="93" t="e">
        <f>'Cash Flow'!#REF!</f>
        <v>#REF!</v>
      </c>
      <c r="Z10" s="93" t="e">
        <f>'Cash Flow'!#REF!</f>
        <v>#REF!</v>
      </c>
      <c r="AA10" s="93" t="e">
        <f>'Cash Flow'!#REF!</f>
        <v>#REF!</v>
      </c>
      <c r="AB10" s="93" t="e">
        <f>'Cash Flow'!#REF!</f>
        <v>#REF!</v>
      </c>
      <c r="AC10" s="94" t="e">
        <f t="shared" si="3"/>
        <v>#REF!</v>
      </c>
      <c r="AD10" s="93" t="e">
        <f>'Cash Flow'!#REF!</f>
        <v>#REF!</v>
      </c>
      <c r="AE10" s="94" t="e">
        <f>'Cash Flow'!#REF!</f>
        <v>#REF!</v>
      </c>
      <c r="AF10" s="93" t="e">
        <f>'Cash Flow'!#REF!</f>
        <v>#REF!</v>
      </c>
      <c r="AG10" s="94" t="e">
        <f>'Cash Flow'!#REF!</f>
        <v>#REF!</v>
      </c>
      <c r="AL10"/>
      <c r="AM10" s="22"/>
      <c r="AN10"/>
    </row>
    <row r="11" spans="1:40" ht="12.4" customHeight="1" x14ac:dyDescent="0.2">
      <c r="A11" s="328" t="s">
        <v>227</v>
      </c>
      <c r="B11" s="93"/>
      <c r="C11" s="93" t="e">
        <f>'Cash Flow'!#REF!</f>
        <v>#REF!</v>
      </c>
      <c r="D11" s="93" t="e">
        <f>'Cash Flow'!#REF!</f>
        <v>#REF!</v>
      </c>
      <c r="E11" s="93" t="e">
        <f>'Cash Flow'!#REF!</f>
        <v>#REF!</v>
      </c>
      <c r="F11" s="93" t="e">
        <f>'Cash Flow'!#REF!</f>
        <v>#REF!</v>
      </c>
      <c r="G11" s="93" t="e">
        <f>'Cash Flow'!#REF!</f>
        <v>#REF!</v>
      </c>
      <c r="H11" s="93" t="e">
        <f>'Cash Flow'!#REF!</f>
        <v>#REF!</v>
      </c>
      <c r="I11" s="93" t="e">
        <f>'Cash Flow'!#REF!</f>
        <v>#REF!</v>
      </c>
      <c r="J11" s="93" t="e">
        <f>'Cash Flow'!#REF!</f>
        <v>#REF!</v>
      </c>
      <c r="K11" s="93" t="e">
        <f>'Cash Flow'!#REF!</f>
        <v>#REF!</v>
      </c>
      <c r="L11" s="93" t="e">
        <f>'Cash Flow'!#REF!</f>
        <v>#REF!</v>
      </c>
      <c r="M11" s="93" t="e">
        <f>'Cash Flow'!#REF!</f>
        <v>#REF!</v>
      </c>
      <c r="N11" s="93" t="e">
        <f>'Cash Flow'!#REF!</f>
        <v>#REF!</v>
      </c>
      <c r="O11" s="94" t="e">
        <f t="shared" si="1"/>
        <v>#REF!</v>
      </c>
      <c r="P11" s="93"/>
      <c r="Q11" s="93" t="e">
        <f>'Cash Flow'!#REF!</f>
        <v>#REF!</v>
      </c>
      <c r="R11" s="93" t="e">
        <f>'Cash Flow'!#REF!</f>
        <v>#REF!</v>
      </c>
      <c r="S11" s="93" t="e">
        <f>'Cash Flow'!#REF!</f>
        <v>#REF!</v>
      </c>
      <c r="T11" s="93" t="e">
        <f>'Cash Flow'!#REF!</f>
        <v>#REF!</v>
      </c>
      <c r="U11" s="93" t="e">
        <f>'Cash Flow'!#REF!</f>
        <v>#REF!</v>
      </c>
      <c r="V11" s="93" t="e">
        <f>'Cash Flow'!#REF!</f>
        <v>#REF!</v>
      </c>
      <c r="W11" s="93" t="e">
        <f>'Cash Flow'!#REF!</f>
        <v>#REF!</v>
      </c>
      <c r="X11" s="93" t="e">
        <f>'Cash Flow'!#REF!</f>
        <v>#REF!</v>
      </c>
      <c r="Y11" s="93" t="e">
        <f>'Cash Flow'!#REF!</f>
        <v>#REF!</v>
      </c>
      <c r="Z11" s="93" t="e">
        <f>'Cash Flow'!#REF!</f>
        <v>#REF!</v>
      </c>
      <c r="AA11" s="93" t="e">
        <f>'Cash Flow'!#REF!</f>
        <v>#REF!</v>
      </c>
      <c r="AB11" s="93" t="e">
        <f>'Cash Flow'!#REF!</f>
        <v>#REF!</v>
      </c>
      <c r="AC11" s="94" t="e">
        <f t="shared" si="3"/>
        <v>#REF!</v>
      </c>
      <c r="AD11" s="93" t="e">
        <f>'Cash Flow'!#REF!</f>
        <v>#REF!</v>
      </c>
      <c r="AE11" s="94" t="e">
        <f>'Cash Flow'!#REF!</f>
        <v>#REF!</v>
      </c>
      <c r="AF11" s="93" t="e">
        <f>'Cash Flow'!#REF!</f>
        <v>#REF!</v>
      </c>
      <c r="AG11" s="94" t="e">
        <f>'Cash Flow'!#REF!</f>
        <v>#REF!</v>
      </c>
      <c r="AL11"/>
      <c r="AM11" s="22"/>
      <c r="AN11"/>
    </row>
    <row r="12" spans="1:40" ht="12.4" customHeight="1" x14ac:dyDescent="0.2">
      <c r="A12" s="328" t="s">
        <v>64</v>
      </c>
      <c r="B12" s="93"/>
      <c r="C12" s="93" t="e">
        <f>SUM('Cash Flow'!#REF!)</f>
        <v>#REF!</v>
      </c>
      <c r="D12" s="93" t="e">
        <f>SUM('Cash Flow'!#REF!)</f>
        <v>#REF!</v>
      </c>
      <c r="E12" s="93" t="e">
        <f>SUM('Cash Flow'!#REF!)</f>
        <v>#REF!</v>
      </c>
      <c r="F12" s="93" t="e">
        <f>SUM('Cash Flow'!#REF!)</f>
        <v>#REF!</v>
      </c>
      <c r="G12" s="93" t="e">
        <f>SUM('Cash Flow'!#REF!)</f>
        <v>#REF!</v>
      </c>
      <c r="H12" s="93" t="e">
        <f>SUM('Cash Flow'!#REF!)</f>
        <v>#REF!</v>
      </c>
      <c r="I12" s="93" t="e">
        <f>SUM('Cash Flow'!#REF!)</f>
        <v>#REF!</v>
      </c>
      <c r="J12" s="93" t="e">
        <f>SUM('Cash Flow'!#REF!)</f>
        <v>#REF!</v>
      </c>
      <c r="K12" s="93" t="e">
        <f>SUM('Cash Flow'!#REF!)</f>
        <v>#REF!</v>
      </c>
      <c r="L12" s="93" t="e">
        <f>SUM('Cash Flow'!#REF!)</f>
        <v>#REF!</v>
      </c>
      <c r="M12" s="93" t="e">
        <f>SUM('Cash Flow'!#REF!)</f>
        <v>#REF!</v>
      </c>
      <c r="N12" s="93" t="e">
        <f>SUM('Cash Flow'!#REF!)</f>
        <v>#REF!</v>
      </c>
      <c r="O12" s="94" t="e">
        <f t="shared" si="1"/>
        <v>#REF!</v>
      </c>
      <c r="P12" s="93"/>
      <c r="Q12" s="93" t="e">
        <f>SUM('Cash Flow'!#REF!)</f>
        <v>#REF!</v>
      </c>
      <c r="R12" s="93" t="e">
        <f>SUM('Cash Flow'!#REF!)</f>
        <v>#REF!</v>
      </c>
      <c r="S12" s="93" t="e">
        <f>SUM('Cash Flow'!#REF!)</f>
        <v>#REF!</v>
      </c>
      <c r="T12" s="93" t="e">
        <f>SUM('Cash Flow'!#REF!)</f>
        <v>#REF!</v>
      </c>
      <c r="U12" s="93" t="e">
        <f>SUM('Cash Flow'!#REF!)</f>
        <v>#REF!</v>
      </c>
      <c r="V12" s="93" t="e">
        <f>SUM('Cash Flow'!#REF!)</f>
        <v>#REF!</v>
      </c>
      <c r="W12" s="93" t="e">
        <f>SUM('Cash Flow'!#REF!)</f>
        <v>#REF!</v>
      </c>
      <c r="X12" s="93" t="e">
        <f>SUM('Cash Flow'!#REF!)</f>
        <v>#REF!</v>
      </c>
      <c r="Y12" s="93" t="e">
        <f>SUM('Cash Flow'!#REF!)</f>
        <v>#REF!</v>
      </c>
      <c r="Z12" s="93" t="e">
        <f>SUM('Cash Flow'!#REF!)</f>
        <v>#REF!</v>
      </c>
      <c r="AA12" s="93" t="e">
        <f>SUM('Cash Flow'!#REF!)</f>
        <v>#REF!</v>
      </c>
      <c r="AB12" s="93" t="e">
        <f>SUM('Cash Flow'!#REF!)</f>
        <v>#REF!</v>
      </c>
      <c r="AC12" s="94" t="e">
        <f t="shared" si="3"/>
        <v>#REF!</v>
      </c>
      <c r="AD12" s="93" t="e">
        <f>SUM('Cash Flow'!#REF!)</f>
        <v>#REF!</v>
      </c>
      <c r="AE12" s="94" t="e">
        <f>SUM('Cash Flow'!#REF!)</f>
        <v>#REF!</v>
      </c>
      <c r="AF12" s="93" t="e">
        <f>SUM('Cash Flow'!#REF!)</f>
        <v>#REF!</v>
      </c>
      <c r="AG12" s="94" t="e">
        <f>SUM('Cash Flow'!#REF!)</f>
        <v>#REF!</v>
      </c>
      <c r="AL12"/>
      <c r="AM12" s="22"/>
      <c r="AN12"/>
    </row>
    <row r="13" spans="1:40" ht="12.4" customHeight="1" x14ac:dyDescent="0.2">
      <c r="A13" s="330" t="s">
        <v>45</v>
      </c>
      <c r="B13" s="90"/>
      <c r="C13" s="90" t="e">
        <f t="shared" ref="C13:N13" si="6">SUM(C4:C12)</f>
        <v>#REF!</v>
      </c>
      <c r="D13" s="90" t="e">
        <f t="shared" si="6"/>
        <v>#REF!</v>
      </c>
      <c r="E13" s="90" t="e">
        <f t="shared" si="6"/>
        <v>#REF!</v>
      </c>
      <c r="F13" s="90" t="e">
        <f t="shared" si="6"/>
        <v>#REF!</v>
      </c>
      <c r="G13" s="90" t="e">
        <f t="shared" si="6"/>
        <v>#REF!</v>
      </c>
      <c r="H13" s="90" t="e">
        <f t="shared" si="6"/>
        <v>#REF!</v>
      </c>
      <c r="I13" s="90" t="e">
        <f t="shared" si="6"/>
        <v>#REF!</v>
      </c>
      <c r="J13" s="90" t="e">
        <f t="shared" si="6"/>
        <v>#REF!</v>
      </c>
      <c r="K13" s="90" t="e">
        <f t="shared" si="6"/>
        <v>#REF!</v>
      </c>
      <c r="L13" s="90" t="e">
        <f t="shared" si="6"/>
        <v>#REF!</v>
      </c>
      <c r="M13" s="90" t="e">
        <f t="shared" si="6"/>
        <v>#REF!</v>
      </c>
      <c r="N13" s="90" t="e">
        <f t="shared" si="6"/>
        <v>#REF!</v>
      </c>
      <c r="O13" s="91" t="e">
        <f t="shared" si="1"/>
        <v>#REF!</v>
      </c>
      <c r="P13" s="90"/>
      <c r="Q13" s="90" t="e">
        <f t="shared" ref="Q13:AB13" si="7">SUM(Q4:Q12)</f>
        <v>#REF!</v>
      </c>
      <c r="R13" s="90" t="e">
        <f t="shared" si="7"/>
        <v>#REF!</v>
      </c>
      <c r="S13" s="90" t="e">
        <f t="shared" si="7"/>
        <v>#REF!</v>
      </c>
      <c r="T13" s="90" t="e">
        <f t="shared" si="7"/>
        <v>#REF!</v>
      </c>
      <c r="U13" s="90" t="e">
        <f t="shared" si="7"/>
        <v>#REF!</v>
      </c>
      <c r="V13" s="90" t="e">
        <f t="shared" si="7"/>
        <v>#REF!</v>
      </c>
      <c r="W13" s="90" t="e">
        <f t="shared" si="7"/>
        <v>#REF!</v>
      </c>
      <c r="X13" s="90" t="e">
        <f t="shared" si="7"/>
        <v>#REF!</v>
      </c>
      <c r="Y13" s="90" t="e">
        <f t="shared" si="7"/>
        <v>#REF!</v>
      </c>
      <c r="Z13" s="90" t="e">
        <f t="shared" si="7"/>
        <v>#REF!</v>
      </c>
      <c r="AA13" s="90" t="e">
        <f t="shared" si="7"/>
        <v>#REF!</v>
      </c>
      <c r="AB13" s="90" t="e">
        <f t="shared" si="7"/>
        <v>#REF!</v>
      </c>
      <c r="AC13" s="91" t="e">
        <f t="shared" si="3"/>
        <v>#REF!</v>
      </c>
      <c r="AD13" s="90" t="e">
        <f>SUM(AD4:AD12)</f>
        <v>#REF!</v>
      </c>
      <c r="AE13" s="91" t="e">
        <f>SUM(AE4:AE12)</f>
        <v>#REF!</v>
      </c>
      <c r="AF13" s="90" t="e">
        <f>SUM(AF4:AF12)</f>
        <v>#REF!</v>
      </c>
      <c r="AG13" s="91" t="e">
        <f>SUM(AG4:AG12)</f>
        <v>#REF!</v>
      </c>
      <c r="AL13"/>
      <c r="AM13" s="22"/>
      <c r="AN13"/>
    </row>
    <row r="14" spans="1:40" ht="12.4" customHeight="1" x14ac:dyDescent="0.2">
      <c r="A14" s="142"/>
      <c r="B14" s="130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16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16"/>
      <c r="AD14" s="222"/>
      <c r="AE14" s="216"/>
      <c r="AF14" s="222"/>
      <c r="AG14" s="216"/>
      <c r="AL14"/>
      <c r="AM14" s="22"/>
      <c r="AN14"/>
    </row>
    <row r="15" spans="1:40" ht="12.4" customHeight="1" x14ac:dyDescent="0.2">
      <c r="A15" s="275"/>
      <c r="B15" s="15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42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42"/>
      <c r="AD15" s="253"/>
      <c r="AE15" s="242"/>
      <c r="AF15" s="253"/>
      <c r="AG15" s="242"/>
      <c r="AH15" s="34"/>
      <c r="AI15" s="34"/>
      <c r="AJ15" s="34"/>
      <c r="AK15" s="34"/>
      <c r="AL15"/>
      <c r="AM15" s="22"/>
      <c r="AN15"/>
    </row>
    <row r="16" spans="1:40" ht="16.149999999999999" customHeight="1" x14ac:dyDescent="0.2">
      <c r="A16" s="327" t="s">
        <v>151</v>
      </c>
      <c r="B16" s="74"/>
      <c r="C16" s="235" t="e">
        <f>IF(PS_DateSetting=1," Month 1",DATE(PS_StartingYear,PS_StartingMonth,15))</f>
        <v>#REF!</v>
      </c>
      <c r="D16" s="235" t="e">
        <f>IF(PS_DateSetting=1," Month 2",C16+30.4)</f>
        <v>#REF!</v>
      </c>
      <c r="E16" s="235" t="e">
        <f>IF(PS_DateSetting=1," Month 3",D16+30.4)</f>
        <v>#REF!</v>
      </c>
      <c r="F16" s="235" t="e">
        <f>IF(PS_DateSetting=1," Month 4",E16+30.4)</f>
        <v>#REF!</v>
      </c>
      <c r="G16" s="235" t="e">
        <f>IF(PS_DateSetting=1," Month 5",F16+30.4)</f>
        <v>#REF!</v>
      </c>
      <c r="H16" s="235" t="e">
        <f>IF(PS_DateSetting=1," Month 6",G16+30.4)</f>
        <v>#REF!</v>
      </c>
      <c r="I16" s="235" t="e">
        <f>IF(PS_DateSetting=1," Month 7",H16+30.4)</f>
        <v>#REF!</v>
      </c>
      <c r="J16" s="235" t="e">
        <f>IF(PS_DateSetting=1," Month 8",I16+30.4)</f>
        <v>#REF!</v>
      </c>
      <c r="K16" s="235" t="e">
        <f>IF(PS_DateSetting=1," Month 9",J16+30.4)</f>
        <v>#REF!</v>
      </c>
      <c r="L16" s="235" t="e">
        <f>IF(PS_DateSetting=1," Month 10",K16+30.4)</f>
        <v>#REF!</v>
      </c>
      <c r="M16" s="235" t="e">
        <f>IF(PS_DateSetting=1," Month 11",L16+30.4)</f>
        <v>#REF!</v>
      </c>
      <c r="N16" s="235" t="e">
        <f>IF(PS_DateSetting=1," Month 12",M16+30.4)</f>
        <v>#REF!</v>
      </c>
      <c r="O16" s="331" t="e">
        <f>IF(PS_DateSetting=1," Year 1",IF(PS_StartingMonth&gt;1,"FY "&amp;PS_StartingYear+1,PS_StartingYear))</f>
        <v>#REF!</v>
      </c>
      <c r="P16" s="74"/>
      <c r="Q16" s="235" t="e">
        <f>IF(PS_DateSetting=1," Month 13",DATE(PS_StartingYear,PS_StartingMonth,15))</f>
        <v>#REF!</v>
      </c>
      <c r="R16" s="235" t="e">
        <f>IF(PS_DateSetting=1," Month 14",Q16+30.4)</f>
        <v>#REF!</v>
      </c>
      <c r="S16" s="235" t="e">
        <f>IF(PS_DateSetting=1," Month 15",R16+30.4)</f>
        <v>#REF!</v>
      </c>
      <c r="T16" s="235" t="e">
        <f>IF(PS_DateSetting=1," Month 16",S16+30.4)</f>
        <v>#REF!</v>
      </c>
      <c r="U16" s="235" t="e">
        <f>IF(PS_DateSetting=1," Month 17",T16+30.4)</f>
        <v>#REF!</v>
      </c>
      <c r="V16" s="235" t="e">
        <f>IF(PS_DateSetting=1," Month 18",U16+30.4)</f>
        <v>#REF!</v>
      </c>
      <c r="W16" s="235" t="e">
        <f>IF(PS_DateSetting=1," Month 19",V16+30.4)</f>
        <v>#REF!</v>
      </c>
      <c r="X16" s="235" t="e">
        <f>IF(PS_DateSetting=1," Month 20",W16+30.4)</f>
        <v>#REF!</v>
      </c>
      <c r="Y16" s="235" t="e">
        <f>IF(PS_DateSetting=1," Month 21",X16+30.4)</f>
        <v>#REF!</v>
      </c>
      <c r="Z16" s="235" t="e">
        <f>IF(PS_DateSetting=1," Month 22",Y16+30.4)</f>
        <v>#REF!</v>
      </c>
      <c r="AA16" s="235" t="e">
        <f>IF(PS_DateSetting=1," Month 23",Z16+30.4)</f>
        <v>#REF!</v>
      </c>
      <c r="AB16" s="235" t="e">
        <f>IF(PS_DateSetting=1," Month 24",AA16+30.4)</f>
        <v>#REF!</v>
      </c>
      <c r="AC16" s="331" t="e">
        <f>IF(PS_DateSetting=1," Year 2",IF(PS_StartingMonth&gt;1,"FY "&amp;PS_StartingYear+2,PS_StartingYear+1))</f>
        <v>#REF!</v>
      </c>
      <c r="AD16" s="332" t="e">
        <f>IF(PS_DateSetting=1," Year 2",IF(PS_StartingMonth&gt;1,"FY "&amp;PS_StartingYear+2,PS_StartingYear+1))</f>
        <v>#REF!</v>
      </c>
      <c r="AE16" s="331" t="e">
        <f>IF(PS_DateSetting=1," Year 3",IF(PS_StartingMonth&gt;1,"FY "&amp;PS_StartingYear+3,PS_StartingYear+2))</f>
        <v>#REF!</v>
      </c>
      <c r="AF16" s="333" t="e">
        <f>IF(PS_DateSetting=1," Year 4",IF(PS_StartingMonth&gt;1,"FY "&amp;PS_StartingYear+4,PS_StartingYear+3))</f>
        <v>#REF!</v>
      </c>
      <c r="AG16" s="331" t="e">
        <f>IF(PS_DateSetting=1," Year 5",IF(PS_StartingMonth&gt;1,"FY "&amp;PS_StartingYear+5,PS_StartingYear+4))</f>
        <v>#REF!</v>
      </c>
      <c r="AL16"/>
      <c r="AM16" s="22"/>
      <c r="AN16"/>
    </row>
    <row r="17" spans="1:40" s="34" customFormat="1" ht="12.4" customHeight="1" x14ac:dyDescent="0.2">
      <c r="A17" s="14" t="s">
        <v>79</v>
      </c>
      <c r="B17" s="554"/>
      <c r="C17" s="44">
        <f>IF(Balance!B19-Balance!H19&gt;0,Balance!B19-Balance!H19,0)</f>
        <v>0</v>
      </c>
      <c r="D17" s="44">
        <f>IF(Balance!H19-Balance!I19&gt;0,Balance!H19-Balance!I19,0)</f>
        <v>39002</v>
      </c>
      <c r="E17" s="44">
        <f>IF(Balance!I19-Balance!J19&gt;0,Balance!I19-Balance!J19,0)</f>
        <v>24000</v>
      </c>
      <c r="F17" s="44">
        <f>IF(Balance!J19-Balance!K19&gt;0,Balance!J19-Balance!K19,0)</f>
        <v>144000</v>
      </c>
      <c r="G17" s="44">
        <f>IF(Balance!K19-Balance!L19&gt;0,Balance!K19-Balance!L19,0)</f>
        <v>4999.9999999999982</v>
      </c>
      <c r="H17" s="44">
        <f>IF(Balance!L19-Balance!M19&gt;0,Balance!L19-Balance!M19,0)</f>
        <v>0</v>
      </c>
      <c r="I17" s="44">
        <f>IF(Balance!M19-Balance!N19&gt;0,Balance!M19-Balance!N19,0)</f>
        <v>0</v>
      </c>
      <c r="J17" s="44">
        <f>IF(Balance!N19-Balance!O19&gt;0,Balance!N19-Balance!O19,0)</f>
        <v>0</v>
      </c>
      <c r="K17" s="44">
        <f>IF(Balance!O19-Balance!P19&gt;0,Balance!O19-Balance!P19,0)</f>
        <v>0</v>
      </c>
      <c r="L17" s="44">
        <f>IF(Balance!P19-Balance!Q19&gt;0,Balance!P19-Balance!Q19,0)</f>
        <v>0</v>
      </c>
      <c r="M17" s="44">
        <f>IF(Balance!Q19-Balance!R19&gt;0,Balance!Q19-Balance!R19,0)</f>
        <v>0</v>
      </c>
      <c r="N17" s="44">
        <f>IF(Balance!R19-Balance!S19&gt;0,Balance!R19-Balance!S19,0)</f>
        <v>0</v>
      </c>
      <c r="O17" s="45">
        <f t="shared" ref="O17:O24" si="8">SUM(C17:N17)</f>
        <v>212002</v>
      </c>
      <c r="P17" s="44"/>
      <c r="Q17" s="44">
        <f>IF(Balance!T19-Balance!U19&gt;0,Balance!T19-Balance!U19,0)</f>
        <v>0</v>
      </c>
      <c r="R17" s="44">
        <f>IF(Balance!U19-Balance!V19&gt;0,Balance!U19-Balance!V19,0)</f>
        <v>0</v>
      </c>
      <c r="S17" s="44">
        <f>IF(Balance!V19-Balance!W19&gt;0,Balance!V19-Balance!W19,0)</f>
        <v>0</v>
      </c>
      <c r="T17" s="44">
        <f>IF(Balance!W19-Balance!X19&gt;0,Balance!W19-Balance!X19,0)</f>
        <v>0</v>
      </c>
      <c r="U17" s="44">
        <f>IF(Balance!X19-Balance!Y19&gt;0,Balance!X19-Balance!Y19,0)</f>
        <v>0</v>
      </c>
      <c r="V17" s="44">
        <f>IF(Balance!Y19-Balance!Z19&gt;0,Balance!Y19-Balance!Z19,0)</f>
        <v>0</v>
      </c>
      <c r="W17" s="44">
        <f>IF(Balance!Z19-Balance!AA19&gt;0,Balance!Z19-Balance!AA19,0)</f>
        <v>0</v>
      </c>
      <c r="X17" s="44">
        <f>IF(Balance!AA19-Balance!AB19&gt;0,Balance!AA19-Balance!AB19,0)</f>
        <v>258439.50000000012</v>
      </c>
      <c r="Y17" s="44">
        <f>IF(Balance!AB19-Balance!AC19&gt;0,Balance!AB19-Balance!AC19,0)</f>
        <v>0</v>
      </c>
      <c r="Z17" s="44">
        <f>IF(Balance!AC19-Balance!AD19&gt;0,Balance!AC19-Balance!AD19,0)</f>
        <v>0</v>
      </c>
      <c r="AA17" s="44">
        <f>IF(Balance!AD19-Balance!AE19&gt;0,Balance!AD19-Balance!AE19,0)</f>
        <v>0</v>
      </c>
      <c r="AB17" s="44">
        <f>IF(Balance!AE19-Balance!AF19&gt;0,Balance!AE19-Balance!AF19,0)</f>
        <v>313896.98611111107</v>
      </c>
      <c r="AC17" s="45">
        <f t="shared" ref="AC17:AC24" si="9">SUM(Q17:AB17)</f>
        <v>572336.48611111124</v>
      </c>
      <c r="AD17" s="44" t="e">
        <f>IF(Balance!T19-Balance!#REF!&gt;0,Balance!T19-Balance!#REF!,0)</f>
        <v>#REF!</v>
      </c>
      <c r="AE17" s="45" t="e">
        <f>IF(IF(PS_AnnualDetail,Balance!AG19,Balance!#REF!)-Balance!AH19&gt;0,IF(PS_AnnualDetail,Balance!AG19,Balance!#REF!)-Balance!AH19,0)</f>
        <v>#REF!</v>
      </c>
      <c r="AF17" s="44">
        <f>IF(Balance!AH19-Balance!AI19&gt;0,Balance!AH19-Balance!AI19,0)</f>
        <v>0</v>
      </c>
      <c r="AG17" s="45">
        <f>IF(Balance!AI19-Balance!AJ19&gt;0,Balance!AI19-Balance!AJ19,0)</f>
        <v>0</v>
      </c>
      <c r="AL17"/>
      <c r="AM17" s="38"/>
      <c r="AN17"/>
    </row>
    <row r="18" spans="1:40" s="34" customFormat="1" ht="12.4" customHeight="1" x14ac:dyDescent="0.2">
      <c r="A18" s="14" t="s">
        <v>170</v>
      </c>
      <c r="B18" s="554"/>
      <c r="C18" s="44">
        <f>IF(Balance!H7-Balance!B7&gt;0,Balance!H7-Balance!B7,0)</f>
        <v>0</v>
      </c>
      <c r="D18" s="44">
        <f>IF(Balance!I7-Balance!H7&gt;0,Balance!I7-Balance!H7,0)</f>
        <v>0</v>
      </c>
      <c r="E18" s="44">
        <f>IF(Balance!J7-Balance!I7&gt;0,Balance!J7-Balance!I7,0)</f>
        <v>0</v>
      </c>
      <c r="F18" s="44">
        <f>IF(Balance!K7-Balance!J7&gt;0,Balance!K7-Balance!J7,0)</f>
        <v>0</v>
      </c>
      <c r="G18" s="44">
        <f>IF(Balance!L7-Balance!K7&gt;0,Balance!L7-Balance!K7,0)</f>
        <v>0</v>
      </c>
      <c r="H18" s="44">
        <f>IF(Balance!M7-Balance!L7&gt;0,Balance!M7-Balance!L7,0)</f>
        <v>0</v>
      </c>
      <c r="I18" s="44">
        <f>IF(Balance!N7-Balance!M7&gt;0,Balance!N7-Balance!M7,0)</f>
        <v>0</v>
      </c>
      <c r="J18" s="44">
        <f>IF(Balance!O7-Balance!N7&gt;0,Balance!O7-Balance!N7,0)</f>
        <v>0</v>
      </c>
      <c r="K18" s="44">
        <f>IF(Balance!P7-Balance!O7&gt;0,Balance!P7-Balance!O7,0)</f>
        <v>0</v>
      </c>
      <c r="L18" s="44">
        <f>IF(Balance!Q7-Balance!P7&gt;0,Balance!Q7-Balance!P7,0)</f>
        <v>0</v>
      </c>
      <c r="M18" s="44">
        <f>IF(Balance!R7-Balance!Q7&gt;0,Balance!R7-Balance!Q7,0)</f>
        <v>0</v>
      </c>
      <c r="N18" s="44">
        <f>IF(Balance!S7-Balance!R7&gt;0,Balance!S7-Balance!R7,0)</f>
        <v>0</v>
      </c>
      <c r="O18" s="45">
        <f t="shared" si="8"/>
        <v>0</v>
      </c>
      <c r="P18" s="44"/>
      <c r="Q18" s="44">
        <f>IF(Balance!U7-Balance!T7&gt;0,Balance!U7-Balance!T7,0)</f>
        <v>0</v>
      </c>
      <c r="R18" s="44">
        <f>IF(Balance!V7-Balance!U7&gt;0,Balance!V7-Balance!U7,0)</f>
        <v>0</v>
      </c>
      <c r="S18" s="44">
        <f>IF(Balance!W7-Balance!V7&gt;0,Balance!W7-Balance!V7,0)</f>
        <v>338649.4079968945</v>
      </c>
      <c r="T18" s="44">
        <f>IF(Balance!X7-Balance!W7&gt;0,Balance!X7-Balance!W7,0)</f>
        <v>75194.439052794944</v>
      </c>
      <c r="U18" s="44">
        <f>IF(Balance!Y7-Balance!X7&gt;0,Balance!Y7-Balance!X7,0)</f>
        <v>66412.606754658336</v>
      </c>
      <c r="V18" s="44">
        <f>IF(Balance!Z7-Balance!Y7&gt;0,Balance!Z7-Balance!Y7,0)</f>
        <v>57630.774456521729</v>
      </c>
      <c r="W18" s="44">
        <f>IF(Balance!AA7-Balance!Z7&gt;0,Balance!AA7-Balance!Z7,0)</f>
        <v>57630.774456521729</v>
      </c>
      <c r="X18" s="44">
        <f>IF(Balance!AB7-Balance!AA7&gt;0,Balance!AB7-Balance!AA7,0)</f>
        <v>57630.774456521729</v>
      </c>
      <c r="Y18" s="44">
        <f>IF(Balance!AC7-Balance!AB7&gt;0,Balance!AC7-Balance!AB7,0)</f>
        <v>57630.774456521845</v>
      </c>
      <c r="Z18" s="44">
        <f>IF(Balance!AD7-Balance!AC7&gt;0,Balance!AD7-Balance!AC7,0)</f>
        <v>57630.774456521729</v>
      </c>
      <c r="AA18" s="44">
        <f>IF(Balance!AE7-Balance!AD7&gt;0,Balance!AE7-Balance!AD7,0)</f>
        <v>57630.774456521729</v>
      </c>
      <c r="AB18" s="44">
        <f>IF(Balance!AF7-Balance!AE7&gt;0,Balance!AF7-Balance!AE7,0)</f>
        <v>57630.774456521729</v>
      </c>
      <c r="AC18" s="45">
        <f t="shared" si="9"/>
        <v>883671.875</v>
      </c>
      <c r="AD18" s="44" t="e">
        <f>IF(Balance!#REF!-Balance!T7&gt;0,Balance!#REF!-Balance!T7,0)</f>
        <v>#REF!</v>
      </c>
      <c r="AE18" s="45" t="e">
        <f>IF(Balance!AH7-IF(PS_AnnualDetail,Balance!AG7,Balance!#REF!)&gt;0,Balance!AH7-IF(PS_AnnualDetail,Balance!AG7,Balance!#REF!),0)</f>
        <v>#REF!</v>
      </c>
      <c r="AF18" s="44">
        <f>IF(Balance!AI7-Balance!AH7&gt;0,Balance!AI7-Balance!AH7,0)</f>
        <v>2450044.0987500004</v>
      </c>
      <c r="AG18" s="45">
        <f>IF(Balance!AJ7-Balance!AI7&gt;0,Balance!AJ7-Balance!AI7,0)</f>
        <v>3570570.896006248</v>
      </c>
      <c r="AL18"/>
      <c r="AM18" s="38"/>
      <c r="AN18"/>
    </row>
    <row r="19" spans="1:40" s="34" customFormat="1" ht="12.4" customHeight="1" x14ac:dyDescent="0.2">
      <c r="A19" s="14" t="s">
        <v>47</v>
      </c>
      <c r="B19" s="554"/>
      <c r="C19" s="44">
        <f>IF(Balance!H8-Balance!B8&gt;0,Balance!H8-Balance!B8,0)</f>
        <v>0</v>
      </c>
      <c r="D19" s="44">
        <f>IF(Balance!I8-Balance!H8&gt;0,Balance!I8-Balance!H8,0)</f>
        <v>0</v>
      </c>
      <c r="E19" s="44">
        <f>IF(Balance!J8-Balance!I8&gt;0,Balance!J8-Balance!I8,0)</f>
        <v>0</v>
      </c>
      <c r="F19" s="44">
        <f>IF(Balance!K8-Balance!J8&gt;0,Balance!K8-Balance!J8,0)</f>
        <v>0</v>
      </c>
      <c r="G19" s="44">
        <f>IF(Balance!L8-Balance!K8&gt;0,Balance!L8-Balance!K8,0)</f>
        <v>0</v>
      </c>
      <c r="H19" s="44">
        <f>IF(Balance!M8-Balance!L8&gt;0,Balance!M8-Balance!L8,0)</f>
        <v>0</v>
      </c>
      <c r="I19" s="44">
        <f>IF(Balance!N8-Balance!M8&gt;0,Balance!N8-Balance!M8,0)</f>
        <v>0</v>
      </c>
      <c r="J19" s="44">
        <f>IF(Balance!O8-Balance!N8&gt;0,Balance!O8-Balance!N8,0)</f>
        <v>0</v>
      </c>
      <c r="K19" s="44">
        <f>IF(Balance!P8-Balance!O8&gt;0,Balance!P8-Balance!O8,0)</f>
        <v>0</v>
      </c>
      <c r="L19" s="44">
        <f>IF(Balance!Q8-Balance!P8&gt;0,Balance!Q8-Balance!P8,0)</f>
        <v>0</v>
      </c>
      <c r="M19" s="44">
        <f>IF(Balance!R8-Balance!Q8&gt;0,Balance!R8-Balance!Q8,0)</f>
        <v>0</v>
      </c>
      <c r="N19" s="44">
        <f>IF(Balance!S8-Balance!R8&gt;0,Balance!S8-Balance!R8,0)</f>
        <v>0</v>
      </c>
      <c r="O19" s="45">
        <f t="shared" si="8"/>
        <v>0</v>
      </c>
      <c r="P19" s="44"/>
      <c r="Q19" s="44">
        <f>IF(Balance!U8-Balance!T8&gt;0,Balance!U8-Balance!T8,0)</f>
        <v>0</v>
      </c>
      <c r="R19" s="44">
        <f>IF(Balance!V8-Balance!U8&gt;0,Balance!V8-Balance!U8,0)</f>
        <v>0</v>
      </c>
      <c r="S19" s="44">
        <f>IF(Balance!W8-Balance!V8&gt;0,Balance!W8-Balance!V8,0)</f>
        <v>289218.75000000006</v>
      </c>
      <c r="T19" s="44">
        <f>IF(Balance!X8-Balance!W8&gt;0,Balance!X8-Balance!W8,0)</f>
        <v>64218.749999999942</v>
      </c>
      <c r="U19" s="44">
        <f>IF(Balance!Y8-Balance!X8&gt;0,Balance!Y8-Balance!X8,0)</f>
        <v>56718.75</v>
      </c>
      <c r="V19" s="44">
        <f>IF(Balance!Z8-Balance!Y8&gt;0,Balance!Z8-Balance!Y8,0)</f>
        <v>49218.75</v>
      </c>
      <c r="W19" s="44">
        <f>IF(Balance!AA8-Balance!Z8&gt;0,Balance!AA8-Balance!Z8,0)</f>
        <v>49218.75</v>
      </c>
      <c r="X19" s="44">
        <f>IF(Balance!AB8-Balance!AA8&gt;0,Balance!AB8-Balance!AA8,0)</f>
        <v>49218.75</v>
      </c>
      <c r="Y19" s="44">
        <f>IF(Balance!AC8-Balance!AB8&gt;0,Balance!AC8-Balance!AB8,0)</f>
        <v>49218.75</v>
      </c>
      <c r="Z19" s="44">
        <f>IF(Balance!AD8-Balance!AC8&gt;0,Balance!AD8-Balance!AC8,0)</f>
        <v>49218.75</v>
      </c>
      <c r="AA19" s="44">
        <f>IF(Balance!AE8-Balance!AD8&gt;0,Balance!AE8-Balance!AD8,0)</f>
        <v>49218.75</v>
      </c>
      <c r="AB19" s="44">
        <f>IF(Balance!AF8-Balance!AE8&gt;0,Balance!AF8-Balance!AE8,0)</f>
        <v>0</v>
      </c>
      <c r="AC19" s="45">
        <f t="shared" si="9"/>
        <v>705468.75</v>
      </c>
      <c r="AD19" s="44" t="e">
        <f>IF(Balance!#REF!-Balance!T8&gt;0,Balance!#REF!-Balance!T8,0)</f>
        <v>#REF!</v>
      </c>
      <c r="AE19" s="45" t="e">
        <f>IF(Balance!AH8-IF(PS_AnnualDetail,Balance!AG8,Balance!#REF!)&gt;0,Balance!AH8-IF(PS_AnnualDetail,Balance!AG8,Balance!#REF!),0)</f>
        <v>#REF!</v>
      </c>
      <c r="AF19" s="44">
        <f>IF(Balance!AI8-Balance!AH8&gt;0,Balance!AI8-Balance!AH8,0)</f>
        <v>1225022.0493750002</v>
      </c>
      <c r="AG19" s="45">
        <f>IF(Balance!AJ8-Balance!AI8&gt;0,Balance!AJ8-Balance!AI8,0)</f>
        <v>1785285.448003124</v>
      </c>
      <c r="AL19"/>
      <c r="AM19" s="38"/>
      <c r="AN19"/>
    </row>
    <row r="20" spans="1:40" ht="12.4" customHeight="1" x14ac:dyDescent="0.2">
      <c r="A20" s="182" t="s">
        <v>164</v>
      </c>
      <c r="B20" s="521"/>
      <c r="C20" s="93" t="e">
        <f>SUM('Cash Flow'!#REF!)</f>
        <v>#REF!</v>
      </c>
      <c r="D20" s="93" t="e">
        <f>SUM('Cash Flow'!#REF!)</f>
        <v>#REF!</v>
      </c>
      <c r="E20" s="93" t="e">
        <f>SUM('Cash Flow'!#REF!)</f>
        <v>#REF!</v>
      </c>
      <c r="F20" s="93" t="e">
        <f>SUM('Cash Flow'!#REF!)</f>
        <v>#REF!</v>
      </c>
      <c r="G20" s="93" t="e">
        <f>SUM('Cash Flow'!#REF!)</f>
        <v>#REF!</v>
      </c>
      <c r="H20" s="93" t="e">
        <f>SUM('Cash Flow'!#REF!)</f>
        <v>#REF!</v>
      </c>
      <c r="I20" s="93" t="e">
        <f>SUM('Cash Flow'!#REF!)</f>
        <v>#REF!</v>
      </c>
      <c r="J20" s="93" t="e">
        <f>SUM('Cash Flow'!#REF!)</f>
        <v>#REF!</v>
      </c>
      <c r="K20" s="93" t="e">
        <f>SUM('Cash Flow'!#REF!)</f>
        <v>#REF!</v>
      </c>
      <c r="L20" s="93" t="e">
        <f>SUM('Cash Flow'!#REF!)</f>
        <v>#REF!</v>
      </c>
      <c r="M20" s="93" t="e">
        <f>SUM('Cash Flow'!#REF!)</f>
        <v>#REF!</v>
      </c>
      <c r="N20" s="93" t="e">
        <f>SUM('Cash Flow'!#REF!)</f>
        <v>#REF!</v>
      </c>
      <c r="O20" s="94" t="e">
        <f t="shared" si="8"/>
        <v>#REF!</v>
      </c>
      <c r="P20" s="93"/>
      <c r="Q20" s="93" t="e">
        <f>SUM('Cash Flow'!#REF!)</f>
        <v>#REF!</v>
      </c>
      <c r="R20" s="93" t="e">
        <f>SUM('Cash Flow'!#REF!)</f>
        <v>#REF!</v>
      </c>
      <c r="S20" s="93" t="e">
        <f>SUM('Cash Flow'!#REF!)</f>
        <v>#REF!</v>
      </c>
      <c r="T20" s="93" t="e">
        <f>SUM('Cash Flow'!#REF!)</f>
        <v>#REF!</v>
      </c>
      <c r="U20" s="93" t="e">
        <f>SUM('Cash Flow'!#REF!)</f>
        <v>#REF!</v>
      </c>
      <c r="V20" s="93" t="e">
        <f>SUM('Cash Flow'!#REF!)</f>
        <v>#REF!</v>
      </c>
      <c r="W20" s="93" t="e">
        <f>SUM('Cash Flow'!#REF!)</f>
        <v>#REF!</v>
      </c>
      <c r="X20" s="93" t="e">
        <f>SUM('Cash Flow'!#REF!)</f>
        <v>#REF!</v>
      </c>
      <c r="Y20" s="93" t="e">
        <f>SUM('Cash Flow'!#REF!)</f>
        <v>#REF!</v>
      </c>
      <c r="Z20" s="93" t="e">
        <f>SUM('Cash Flow'!#REF!)</f>
        <v>#REF!</v>
      </c>
      <c r="AA20" s="93" t="e">
        <f>SUM('Cash Flow'!#REF!)</f>
        <v>#REF!</v>
      </c>
      <c r="AB20" s="93" t="e">
        <f>SUM('Cash Flow'!#REF!)</f>
        <v>#REF!</v>
      </c>
      <c r="AC20" s="94" t="e">
        <f t="shared" si="9"/>
        <v>#REF!</v>
      </c>
      <c r="AD20" s="93" t="e">
        <f>SUM('Cash Flow'!#REF!)</f>
        <v>#REF!</v>
      </c>
      <c r="AE20" s="94" t="e">
        <f>SUM('Cash Flow'!#REF!)</f>
        <v>#REF!</v>
      </c>
      <c r="AF20" s="93" t="e">
        <f>SUM('Cash Flow'!#REF!)</f>
        <v>#REF!</v>
      </c>
      <c r="AG20" s="94" t="e">
        <f>SUM('Cash Flow'!#REF!)</f>
        <v>#REF!</v>
      </c>
      <c r="AL20"/>
      <c r="AM20" s="22"/>
      <c r="AN20"/>
    </row>
    <row r="21" spans="1:40" ht="12.4" customHeight="1" x14ac:dyDescent="0.2">
      <c r="A21" s="182" t="s">
        <v>188</v>
      </c>
      <c r="B21" s="521"/>
      <c r="C21" s="93" t="e">
        <f>SUM('Cash Flow'!#REF!)</f>
        <v>#REF!</v>
      </c>
      <c r="D21" s="93" t="e">
        <f>SUM('Cash Flow'!#REF!)</f>
        <v>#REF!</v>
      </c>
      <c r="E21" s="93" t="e">
        <f>SUM('Cash Flow'!#REF!)</f>
        <v>#REF!</v>
      </c>
      <c r="F21" s="93" t="e">
        <f>SUM('Cash Flow'!#REF!)</f>
        <v>#REF!</v>
      </c>
      <c r="G21" s="93" t="e">
        <f>SUM('Cash Flow'!#REF!)</f>
        <v>#REF!</v>
      </c>
      <c r="H21" s="93" t="e">
        <f>SUM('Cash Flow'!#REF!)</f>
        <v>#REF!</v>
      </c>
      <c r="I21" s="93" t="e">
        <f>SUM('Cash Flow'!#REF!)</f>
        <v>#REF!</v>
      </c>
      <c r="J21" s="93" t="e">
        <f>SUM('Cash Flow'!#REF!)</f>
        <v>#REF!</v>
      </c>
      <c r="K21" s="93" t="e">
        <f>SUM('Cash Flow'!#REF!)</f>
        <v>#REF!</v>
      </c>
      <c r="L21" s="93" t="e">
        <f>SUM('Cash Flow'!#REF!)</f>
        <v>#REF!</v>
      </c>
      <c r="M21" s="93" t="e">
        <f>SUM('Cash Flow'!#REF!)</f>
        <v>#REF!</v>
      </c>
      <c r="N21" s="93" t="e">
        <f>SUM('Cash Flow'!#REF!)</f>
        <v>#REF!</v>
      </c>
      <c r="O21" s="94" t="e">
        <f t="shared" si="8"/>
        <v>#REF!</v>
      </c>
      <c r="P21" s="93"/>
      <c r="Q21" s="93" t="e">
        <f>SUM('Cash Flow'!#REF!)</f>
        <v>#REF!</v>
      </c>
      <c r="R21" s="93" t="e">
        <f>SUM('Cash Flow'!#REF!)</f>
        <v>#REF!</v>
      </c>
      <c r="S21" s="93" t="e">
        <f>SUM('Cash Flow'!#REF!)</f>
        <v>#REF!</v>
      </c>
      <c r="T21" s="93" t="e">
        <f>SUM('Cash Flow'!#REF!)</f>
        <v>#REF!</v>
      </c>
      <c r="U21" s="93" t="e">
        <f>SUM('Cash Flow'!#REF!)</f>
        <v>#REF!</v>
      </c>
      <c r="V21" s="93" t="e">
        <f>SUM('Cash Flow'!#REF!)</f>
        <v>#REF!</v>
      </c>
      <c r="W21" s="93" t="e">
        <f>SUM('Cash Flow'!#REF!)</f>
        <v>#REF!</v>
      </c>
      <c r="X21" s="93" t="e">
        <f>SUM('Cash Flow'!#REF!)</f>
        <v>#REF!</v>
      </c>
      <c r="Y21" s="93" t="e">
        <f>SUM('Cash Flow'!#REF!)</f>
        <v>#REF!</v>
      </c>
      <c r="Z21" s="93" t="e">
        <f>SUM('Cash Flow'!#REF!)</f>
        <v>#REF!</v>
      </c>
      <c r="AA21" s="93" t="e">
        <f>SUM('Cash Flow'!#REF!)</f>
        <v>#REF!</v>
      </c>
      <c r="AB21" s="93" t="e">
        <f>SUM('Cash Flow'!#REF!)</f>
        <v>#REF!</v>
      </c>
      <c r="AC21" s="94" t="e">
        <f t="shared" si="9"/>
        <v>#REF!</v>
      </c>
      <c r="AD21" s="93" t="e">
        <f>SUM('Cash Flow'!#REF!)</f>
        <v>#REF!</v>
      </c>
      <c r="AE21" s="94" t="e">
        <f>SUM('Cash Flow'!#REF!)</f>
        <v>#REF!</v>
      </c>
      <c r="AF21" s="93" t="e">
        <f>SUM('Cash Flow'!#REF!)</f>
        <v>#REF!</v>
      </c>
      <c r="AG21" s="94" t="e">
        <f>SUM('Cash Flow'!#REF!)</f>
        <v>#REF!</v>
      </c>
      <c r="AL21"/>
      <c r="AM21" s="22"/>
      <c r="AN21"/>
    </row>
    <row r="22" spans="1:40" ht="12.4" customHeight="1" x14ac:dyDescent="0.2">
      <c r="A22" s="182" t="s">
        <v>139</v>
      </c>
      <c r="B22" s="521"/>
      <c r="C22" s="93" t="e">
        <f>'Cash Flow'!#REF!</f>
        <v>#REF!</v>
      </c>
      <c r="D22" s="93" t="e">
        <f>'Cash Flow'!#REF!</f>
        <v>#REF!</v>
      </c>
      <c r="E22" s="93" t="e">
        <f>'Cash Flow'!#REF!</f>
        <v>#REF!</v>
      </c>
      <c r="F22" s="93" t="e">
        <f>'Cash Flow'!#REF!</f>
        <v>#REF!</v>
      </c>
      <c r="G22" s="93" t="e">
        <f>'Cash Flow'!#REF!</f>
        <v>#REF!</v>
      </c>
      <c r="H22" s="93" t="e">
        <f>'Cash Flow'!#REF!</f>
        <v>#REF!</v>
      </c>
      <c r="I22" s="93" t="e">
        <f>'Cash Flow'!#REF!</f>
        <v>#REF!</v>
      </c>
      <c r="J22" s="93" t="e">
        <f>'Cash Flow'!#REF!</f>
        <v>#REF!</v>
      </c>
      <c r="K22" s="93" t="e">
        <f>'Cash Flow'!#REF!</f>
        <v>#REF!</v>
      </c>
      <c r="L22" s="93" t="e">
        <f>'Cash Flow'!#REF!</f>
        <v>#REF!</v>
      </c>
      <c r="M22" s="93" t="e">
        <f>'Cash Flow'!#REF!</f>
        <v>#REF!</v>
      </c>
      <c r="N22" s="93" t="e">
        <f>'Cash Flow'!#REF!</f>
        <v>#REF!</v>
      </c>
      <c r="O22" s="94" t="e">
        <f t="shared" si="8"/>
        <v>#REF!</v>
      </c>
      <c r="P22" s="93"/>
      <c r="Q22" s="93" t="e">
        <f>'Cash Flow'!#REF!</f>
        <v>#REF!</v>
      </c>
      <c r="R22" s="93" t="e">
        <f>'Cash Flow'!#REF!</f>
        <v>#REF!</v>
      </c>
      <c r="S22" s="93" t="e">
        <f>'Cash Flow'!#REF!</f>
        <v>#REF!</v>
      </c>
      <c r="T22" s="93" t="e">
        <f>'Cash Flow'!#REF!</f>
        <v>#REF!</v>
      </c>
      <c r="U22" s="93" t="e">
        <f>'Cash Flow'!#REF!</f>
        <v>#REF!</v>
      </c>
      <c r="V22" s="93" t="e">
        <f>'Cash Flow'!#REF!</f>
        <v>#REF!</v>
      </c>
      <c r="W22" s="93" t="e">
        <f>'Cash Flow'!#REF!</f>
        <v>#REF!</v>
      </c>
      <c r="X22" s="93" t="e">
        <f>'Cash Flow'!#REF!</f>
        <v>#REF!</v>
      </c>
      <c r="Y22" s="93" t="e">
        <f>'Cash Flow'!#REF!</f>
        <v>#REF!</v>
      </c>
      <c r="Z22" s="93" t="e">
        <f>'Cash Flow'!#REF!</f>
        <v>#REF!</v>
      </c>
      <c r="AA22" s="93" t="e">
        <f>'Cash Flow'!#REF!</f>
        <v>#REF!</v>
      </c>
      <c r="AB22" s="93" t="e">
        <f>'Cash Flow'!#REF!</f>
        <v>#REF!</v>
      </c>
      <c r="AC22" s="94" t="e">
        <f t="shared" si="9"/>
        <v>#REF!</v>
      </c>
      <c r="AD22" s="93" t="e">
        <f>'Cash Flow'!#REF!</f>
        <v>#REF!</v>
      </c>
      <c r="AE22" s="94" t="e">
        <f>'Cash Flow'!#REF!</f>
        <v>#REF!</v>
      </c>
      <c r="AF22" s="93" t="e">
        <f>'Cash Flow'!#REF!</f>
        <v>#REF!</v>
      </c>
      <c r="AG22" s="94" t="e">
        <f>'Cash Flow'!#REF!</f>
        <v>#REF!</v>
      </c>
      <c r="AL22"/>
      <c r="AM22" s="22"/>
      <c r="AN22"/>
    </row>
    <row r="23" spans="1:40" ht="12.4" customHeight="1" x14ac:dyDescent="0.2">
      <c r="A23" s="182" t="s">
        <v>247</v>
      </c>
      <c r="B23" s="521"/>
      <c r="C23" s="93" t="e">
        <f>'Cash Flow'!#REF!</f>
        <v>#REF!</v>
      </c>
      <c r="D23" s="93" t="e">
        <f>'Cash Flow'!#REF!</f>
        <v>#REF!</v>
      </c>
      <c r="E23" s="93" t="e">
        <f>'Cash Flow'!#REF!</f>
        <v>#REF!</v>
      </c>
      <c r="F23" s="93" t="e">
        <f>'Cash Flow'!#REF!</f>
        <v>#REF!</v>
      </c>
      <c r="G23" s="93" t="e">
        <f>'Cash Flow'!#REF!</f>
        <v>#REF!</v>
      </c>
      <c r="H23" s="93" t="e">
        <f>'Cash Flow'!#REF!</f>
        <v>#REF!</v>
      </c>
      <c r="I23" s="93" t="e">
        <f>'Cash Flow'!#REF!</f>
        <v>#REF!</v>
      </c>
      <c r="J23" s="93" t="e">
        <f>'Cash Flow'!#REF!</f>
        <v>#REF!</v>
      </c>
      <c r="K23" s="93" t="e">
        <f>'Cash Flow'!#REF!</f>
        <v>#REF!</v>
      </c>
      <c r="L23" s="93" t="e">
        <f>'Cash Flow'!#REF!</f>
        <v>#REF!</v>
      </c>
      <c r="M23" s="93" t="e">
        <f>'Cash Flow'!#REF!</f>
        <v>#REF!</v>
      </c>
      <c r="N23" s="93" t="e">
        <f>'Cash Flow'!#REF!</f>
        <v>#REF!</v>
      </c>
      <c r="O23" s="94" t="e">
        <f t="shared" si="8"/>
        <v>#REF!</v>
      </c>
      <c r="P23" s="93"/>
      <c r="Q23" s="93" t="e">
        <f>'Cash Flow'!#REF!</f>
        <v>#REF!</v>
      </c>
      <c r="R23" s="93" t="e">
        <f>'Cash Flow'!#REF!</f>
        <v>#REF!</v>
      </c>
      <c r="S23" s="93" t="e">
        <f>'Cash Flow'!#REF!</f>
        <v>#REF!</v>
      </c>
      <c r="T23" s="93" t="e">
        <f>'Cash Flow'!#REF!</f>
        <v>#REF!</v>
      </c>
      <c r="U23" s="93" t="e">
        <f>'Cash Flow'!#REF!</f>
        <v>#REF!</v>
      </c>
      <c r="V23" s="93" t="e">
        <f>'Cash Flow'!#REF!</f>
        <v>#REF!</v>
      </c>
      <c r="W23" s="93" t="e">
        <f>'Cash Flow'!#REF!</f>
        <v>#REF!</v>
      </c>
      <c r="X23" s="93" t="e">
        <f>'Cash Flow'!#REF!</f>
        <v>#REF!</v>
      </c>
      <c r="Y23" s="93" t="e">
        <f>'Cash Flow'!#REF!</f>
        <v>#REF!</v>
      </c>
      <c r="Z23" s="93" t="e">
        <f>'Cash Flow'!#REF!</f>
        <v>#REF!</v>
      </c>
      <c r="AA23" s="93" t="e">
        <f>'Cash Flow'!#REF!</f>
        <v>#REF!</v>
      </c>
      <c r="AB23" s="93" t="e">
        <f>'Cash Flow'!#REF!</f>
        <v>#REF!</v>
      </c>
      <c r="AC23" s="94" t="e">
        <f t="shared" si="9"/>
        <v>#REF!</v>
      </c>
      <c r="AD23" s="93" t="e">
        <f>'Cash Flow'!#REF!</f>
        <v>#REF!</v>
      </c>
      <c r="AE23" s="94" t="e">
        <f>'Cash Flow'!#REF!</f>
        <v>#REF!</v>
      </c>
      <c r="AF23" s="93" t="e">
        <f>'Cash Flow'!#REF!</f>
        <v>#REF!</v>
      </c>
      <c r="AG23" s="94" t="e">
        <f>'Cash Flow'!#REF!</f>
        <v>#REF!</v>
      </c>
      <c r="AL23"/>
      <c r="AM23" s="22"/>
      <c r="AN23"/>
    </row>
    <row r="24" spans="1:40" ht="12.4" customHeight="1" x14ac:dyDescent="0.2">
      <c r="A24" s="330" t="s">
        <v>7</v>
      </c>
      <c r="B24" s="90"/>
      <c r="C24" s="90" t="e">
        <f t="shared" ref="C24:N24" si="10">SUM(C17:C23)</f>
        <v>#REF!</v>
      </c>
      <c r="D24" s="90" t="e">
        <f t="shared" si="10"/>
        <v>#REF!</v>
      </c>
      <c r="E24" s="90" t="e">
        <f t="shared" si="10"/>
        <v>#REF!</v>
      </c>
      <c r="F24" s="90" t="e">
        <f t="shared" si="10"/>
        <v>#REF!</v>
      </c>
      <c r="G24" s="90" t="e">
        <f t="shared" si="10"/>
        <v>#REF!</v>
      </c>
      <c r="H24" s="90" t="e">
        <f t="shared" si="10"/>
        <v>#REF!</v>
      </c>
      <c r="I24" s="90" t="e">
        <f t="shared" si="10"/>
        <v>#REF!</v>
      </c>
      <c r="J24" s="90" t="e">
        <f t="shared" si="10"/>
        <v>#REF!</v>
      </c>
      <c r="K24" s="90" t="e">
        <f t="shared" si="10"/>
        <v>#REF!</v>
      </c>
      <c r="L24" s="90" t="e">
        <f t="shared" si="10"/>
        <v>#REF!</v>
      </c>
      <c r="M24" s="90" t="e">
        <f t="shared" si="10"/>
        <v>#REF!</v>
      </c>
      <c r="N24" s="90" t="e">
        <f t="shared" si="10"/>
        <v>#REF!</v>
      </c>
      <c r="O24" s="91" t="e">
        <f t="shared" si="8"/>
        <v>#REF!</v>
      </c>
      <c r="P24" s="90"/>
      <c r="Q24" s="90" t="e">
        <f t="shared" ref="Q24:AB24" si="11">SUM(Q17:Q23)</f>
        <v>#REF!</v>
      </c>
      <c r="R24" s="90" t="e">
        <f t="shared" si="11"/>
        <v>#REF!</v>
      </c>
      <c r="S24" s="90" t="e">
        <f t="shared" si="11"/>
        <v>#REF!</v>
      </c>
      <c r="T24" s="90" t="e">
        <f t="shared" si="11"/>
        <v>#REF!</v>
      </c>
      <c r="U24" s="90" t="e">
        <f t="shared" si="11"/>
        <v>#REF!</v>
      </c>
      <c r="V24" s="90" t="e">
        <f t="shared" si="11"/>
        <v>#REF!</v>
      </c>
      <c r="W24" s="90" t="e">
        <f t="shared" si="11"/>
        <v>#REF!</v>
      </c>
      <c r="X24" s="90" t="e">
        <f t="shared" si="11"/>
        <v>#REF!</v>
      </c>
      <c r="Y24" s="90" t="e">
        <f t="shared" si="11"/>
        <v>#REF!</v>
      </c>
      <c r="Z24" s="90" t="e">
        <f t="shared" si="11"/>
        <v>#REF!</v>
      </c>
      <c r="AA24" s="90" t="e">
        <f t="shared" si="11"/>
        <v>#REF!</v>
      </c>
      <c r="AB24" s="90" t="e">
        <f t="shared" si="11"/>
        <v>#REF!</v>
      </c>
      <c r="AC24" s="91" t="e">
        <f t="shared" si="9"/>
        <v>#REF!</v>
      </c>
      <c r="AD24" s="90" t="e">
        <f>SUM(AD17:AD23)</f>
        <v>#REF!</v>
      </c>
      <c r="AE24" s="91" t="e">
        <f>SUM(AE17:AE23)</f>
        <v>#REF!</v>
      </c>
      <c r="AF24" s="90" t="e">
        <f>SUM(AF17:AF23)</f>
        <v>#REF!</v>
      </c>
      <c r="AG24" s="91" t="e">
        <f>SUM(AG17:AG23)</f>
        <v>#REF!</v>
      </c>
      <c r="AL24"/>
      <c r="AM24" s="22"/>
      <c r="AN24"/>
    </row>
    <row r="25" spans="1:40" ht="12.4" customHeight="1" x14ac:dyDescent="0.2">
      <c r="A25" s="142"/>
      <c r="B25" s="130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16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16"/>
      <c r="AD25" s="222"/>
      <c r="AE25" s="216"/>
      <c r="AF25" s="222"/>
      <c r="AG25" s="216"/>
      <c r="AL25"/>
      <c r="AM25" s="22"/>
      <c r="AN25"/>
    </row>
    <row r="26" spans="1:40" ht="16.149999999999999" customHeight="1" x14ac:dyDescent="0.2">
      <c r="A26" s="327" t="s">
        <v>234</v>
      </c>
      <c r="B26" s="208"/>
      <c r="C26" s="208" t="e">
        <f t="shared" ref="C26:O26" si="12">C13-C24</f>
        <v>#REF!</v>
      </c>
      <c r="D26" s="208" t="e">
        <f t="shared" si="12"/>
        <v>#REF!</v>
      </c>
      <c r="E26" s="208" t="e">
        <f t="shared" si="12"/>
        <v>#REF!</v>
      </c>
      <c r="F26" s="208" t="e">
        <f t="shared" si="12"/>
        <v>#REF!</v>
      </c>
      <c r="G26" s="208" t="e">
        <f t="shared" si="12"/>
        <v>#REF!</v>
      </c>
      <c r="H26" s="208" t="e">
        <f t="shared" si="12"/>
        <v>#REF!</v>
      </c>
      <c r="I26" s="208" t="e">
        <f t="shared" si="12"/>
        <v>#REF!</v>
      </c>
      <c r="J26" s="208" t="e">
        <f t="shared" si="12"/>
        <v>#REF!</v>
      </c>
      <c r="K26" s="208" t="e">
        <f t="shared" si="12"/>
        <v>#REF!</v>
      </c>
      <c r="L26" s="208" t="e">
        <f t="shared" si="12"/>
        <v>#REF!</v>
      </c>
      <c r="M26" s="208" t="e">
        <f t="shared" si="12"/>
        <v>#REF!</v>
      </c>
      <c r="N26" s="208" t="e">
        <f t="shared" si="12"/>
        <v>#REF!</v>
      </c>
      <c r="O26" s="209" t="e">
        <f t="shared" si="12"/>
        <v>#REF!</v>
      </c>
      <c r="P26" s="208"/>
      <c r="Q26" s="208" t="e">
        <f t="shared" ref="Q26:AG26" si="13">Q13-Q24</f>
        <v>#REF!</v>
      </c>
      <c r="R26" s="208" t="e">
        <f t="shared" si="13"/>
        <v>#REF!</v>
      </c>
      <c r="S26" s="208" t="e">
        <f t="shared" si="13"/>
        <v>#REF!</v>
      </c>
      <c r="T26" s="208" t="e">
        <f t="shared" si="13"/>
        <v>#REF!</v>
      </c>
      <c r="U26" s="208" t="e">
        <f t="shared" si="13"/>
        <v>#REF!</v>
      </c>
      <c r="V26" s="208" t="e">
        <f t="shared" si="13"/>
        <v>#REF!</v>
      </c>
      <c r="W26" s="208" t="e">
        <f t="shared" si="13"/>
        <v>#REF!</v>
      </c>
      <c r="X26" s="208" t="e">
        <f t="shared" si="13"/>
        <v>#REF!</v>
      </c>
      <c r="Y26" s="208" t="e">
        <f t="shared" si="13"/>
        <v>#REF!</v>
      </c>
      <c r="Z26" s="208" t="e">
        <f t="shared" si="13"/>
        <v>#REF!</v>
      </c>
      <c r="AA26" s="208" t="e">
        <f t="shared" si="13"/>
        <v>#REF!</v>
      </c>
      <c r="AB26" s="208" t="e">
        <f t="shared" si="13"/>
        <v>#REF!</v>
      </c>
      <c r="AC26" s="209" t="e">
        <f t="shared" si="13"/>
        <v>#REF!</v>
      </c>
      <c r="AD26" s="208" t="e">
        <f t="shared" si="13"/>
        <v>#REF!</v>
      </c>
      <c r="AE26" s="209" t="e">
        <f t="shared" si="13"/>
        <v>#REF!</v>
      </c>
      <c r="AF26" s="208" t="e">
        <f t="shared" si="13"/>
        <v>#REF!</v>
      </c>
      <c r="AG26" s="209" t="e">
        <f t="shared" si="13"/>
        <v>#REF!</v>
      </c>
      <c r="AL26"/>
      <c r="AM26" s="22"/>
      <c r="AN26"/>
    </row>
    <row r="27" spans="1:40" ht="12.4" customHeight="1" x14ac:dyDescent="0.2">
      <c r="A27" s="334" t="s">
        <v>50</v>
      </c>
      <c r="B27" s="335"/>
      <c r="C27" s="335" t="e">
        <f>pr_startingcash+C26</f>
        <v>#NAME?</v>
      </c>
      <c r="D27" s="335" t="e">
        <f t="shared" ref="D27:N27" si="14">C27+D26</f>
        <v>#NAME?</v>
      </c>
      <c r="E27" s="335" t="e">
        <f t="shared" si="14"/>
        <v>#NAME?</v>
      </c>
      <c r="F27" s="335" t="e">
        <f t="shared" si="14"/>
        <v>#NAME?</v>
      </c>
      <c r="G27" s="335" t="e">
        <f t="shared" si="14"/>
        <v>#NAME?</v>
      </c>
      <c r="H27" s="335" t="e">
        <f t="shared" si="14"/>
        <v>#NAME?</v>
      </c>
      <c r="I27" s="335" t="e">
        <f t="shared" si="14"/>
        <v>#NAME?</v>
      </c>
      <c r="J27" s="335" t="e">
        <f t="shared" si="14"/>
        <v>#NAME?</v>
      </c>
      <c r="K27" s="335" t="e">
        <f t="shared" si="14"/>
        <v>#NAME?</v>
      </c>
      <c r="L27" s="335" t="e">
        <f t="shared" si="14"/>
        <v>#NAME?</v>
      </c>
      <c r="M27" s="335" t="e">
        <f t="shared" si="14"/>
        <v>#NAME?</v>
      </c>
      <c r="N27" s="335" t="e">
        <f t="shared" si="14"/>
        <v>#NAME?</v>
      </c>
      <c r="O27" s="336" t="e">
        <f>N27</f>
        <v>#NAME?</v>
      </c>
      <c r="P27" s="335"/>
      <c r="Q27" s="335" t="e">
        <f>N27+Q26</f>
        <v>#NAME?</v>
      </c>
      <c r="R27" s="335" t="e">
        <f t="shared" ref="R27:AB27" si="15">Q27+R26</f>
        <v>#NAME?</v>
      </c>
      <c r="S27" s="335" t="e">
        <f t="shared" si="15"/>
        <v>#NAME?</v>
      </c>
      <c r="T27" s="335" t="e">
        <f t="shared" si="15"/>
        <v>#NAME?</v>
      </c>
      <c r="U27" s="335" t="e">
        <f t="shared" si="15"/>
        <v>#NAME?</v>
      </c>
      <c r="V27" s="335" t="e">
        <f t="shared" si="15"/>
        <v>#NAME?</v>
      </c>
      <c r="W27" s="335" t="e">
        <f t="shared" si="15"/>
        <v>#NAME?</v>
      </c>
      <c r="X27" s="335" t="e">
        <f t="shared" si="15"/>
        <v>#NAME?</v>
      </c>
      <c r="Y27" s="335" t="e">
        <f t="shared" si="15"/>
        <v>#NAME?</v>
      </c>
      <c r="Z27" s="335" t="e">
        <f t="shared" si="15"/>
        <v>#NAME?</v>
      </c>
      <c r="AA27" s="335" t="e">
        <f t="shared" si="15"/>
        <v>#NAME?</v>
      </c>
      <c r="AB27" s="335" t="e">
        <f t="shared" si="15"/>
        <v>#NAME?</v>
      </c>
      <c r="AC27" s="336" t="e">
        <f>AB27</f>
        <v>#NAME?</v>
      </c>
      <c r="AD27" s="335" t="e">
        <f>O27+AD26</f>
        <v>#NAME?</v>
      </c>
      <c r="AE27" s="337" t="e">
        <f>IF(PS_AnnualDetail,AC27,AD27)+AE26</f>
        <v>#REF!</v>
      </c>
      <c r="AF27" s="335" t="e">
        <f>AE27+AF26</f>
        <v>#REF!</v>
      </c>
      <c r="AG27" s="337" t="e">
        <f>AF27+AG26</f>
        <v>#REF!</v>
      </c>
      <c r="AL27"/>
      <c r="AM27" s="22"/>
      <c r="AN27"/>
    </row>
    <row r="28" spans="1:40" ht="12.4" customHeight="1" x14ac:dyDescent="0.2">
      <c r="A28" s="277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2"/>
      <c r="AL28"/>
      <c r="AM28" s="22"/>
      <c r="AN28"/>
    </row>
    <row r="29" spans="1:40" ht="12.4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L29" s="22"/>
      <c r="AM29" s="22"/>
      <c r="AN29" s="22"/>
    </row>
    <row r="30" spans="1:40" ht="12.4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L30" s="22"/>
      <c r="AM30" s="22"/>
      <c r="AN30" s="22"/>
    </row>
    <row r="31" spans="1:40" ht="12.4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L31" s="22"/>
      <c r="AM31" s="22"/>
      <c r="AN31" s="22"/>
    </row>
    <row r="32" spans="1:40" ht="12.4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L32" s="22"/>
      <c r="AM32" s="22"/>
      <c r="AN32" s="22"/>
    </row>
    <row r="33" spans="1:40" ht="12.4" customHeight="1" x14ac:dyDescent="0.2">
      <c r="A33"/>
      <c r="B33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/>
      <c r="AD33" s="308"/>
      <c r="AE33" s="308"/>
      <c r="AF33" s="308"/>
      <c r="AG33" s="308"/>
      <c r="AH33" s="20"/>
      <c r="AL33" s="22"/>
      <c r="AM33" s="22"/>
      <c r="AN33" s="22"/>
    </row>
    <row r="34" spans="1:40" ht="12.4" customHeight="1" x14ac:dyDescent="0.2">
      <c r="A34" s="36"/>
      <c r="B34" s="55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552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40" ht="12.4" customHeight="1" x14ac:dyDescent="0.2">
      <c r="A35" s="36"/>
      <c r="B35" s="55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552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</row>
    <row r="36" spans="1:40" ht="12.4" customHeight="1" x14ac:dyDescent="0.2">
      <c r="A36" s="36"/>
      <c r="B36" s="55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552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</row>
    <row r="37" spans="1:40" ht="12.4" customHeight="1" x14ac:dyDescent="0.2">
      <c r="A37" s="22"/>
      <c r="B37" s="22"/>
      <c r="P37" s="22"/>
      <c r="AC37" s="22"/>
    </row>
    <row r="56" spans="3:3" ht="12.4" customHeight="1" x14ac:dyDescent="0.2">
      <c r="C56"/>
    </row>
    <row r="57" spans="3:3" ht="12.4" customHeight="1" x14ac:dyDescent="0.2">
      <c r="C57"/>
    </row>
  </sheetData>
  <pageMargins left="0.75" right="0.75" top="1" bottom="1" header="0.5" footer="0.5"/>
  <pageSetup orientation="landscape" horizontalDpi="4294967292" verticalDpi="96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"/>
  <sheetViews>
    <sheetView showGridLines="0" workbookViewId="0">
      <pane xSplit="1" ySplit="2" topLeftCell="B3" activePane="bottomRight" state="frozenSplit"/>
      <selection pane="topRight"/>
      <selection pane="bottomLeft"/>
      <selection pane="bottomRight"/>
    </sheetView>
  </sheetViews>
  <sheetFormatPr defaultColWidth="9.125" defaultRowHeight="12.4" customHeight="1" x14ac:dyDescent="0.2"/>
  <cols>
    <col min="1" max="1" width="52.5" style="1" customWidth="1"/>
    <col min="2" max="7" width="13.625" style="1" customWidth="1"/>
    <col min="8" max="8" width="25.375" style="1" customWidth="1"/>
    <col min="9" max="9" width="14.875" style="1" customWidth="1"/>
    <col min="10" max="23" width="9.125" style="1" customWidth="1"/>
    <col min="24" max="24" width="11.375" style="1" customWidth="1"/>
    <col min="25" max="25" width="10.875" style="1" customWidth="1"/>
    <col min="26" max="26" width="23.125" style="1" customWidth="1"/>
    <col min="27" max="27" width="9.125" style="1" customWidth="1"/>
    <col min="28" max="32" width="13.625" style="1" customWidth="1"/>
    <col min="33" max="33" width="23.125" style="1" customWidth="1"/>
    <col min="34" max="53" width="9.125" style="1" customWidth="1"/>
    <col min="54" max="58" width="13.625" style="1" customWidth="1"/>
    <col min="59" max="59" width="23.125" style="1" customWidth="1"/>
    <col min="60" max="16384" width="9.125" style="1"/>
  </cols>
  <sheetData>
    <row r="1" spans="1:63" s="75" customFormat="1" ht="16.149999999999999" customHeight="1" x14ac:dyDescent="0.2">
      <c r="A1" s="2" t="s">
        <v>183</v>
      </c>
      <c r="B1" s="362"/>
      <c r="C1" s="286"/>
      <c r="D1" s="286"/>
      <c r="E1" s="286"/>
      <c r="F1" s="287"/>
      <c r="G1" s="22"/>
      <c r="T1"/>
      <c r="Y1"/>
      <c r="Z1"/>
      <c r="AB1" s="362"/>
      <c r="AC1" s="286"/>
      <c r="AD1" s="286"/>
      <c r="AE1" s="286"/>
      <c r="AF1" s="287"/>
      <c r="AG1"/>
      <c r="BB1" s="362"/>
      <c r="BC1" s="286"/>
      <c r="BD1" s="286"/>
      <c r="BE1" s="286"/>
      <c r="BF1" s="287"/>
      <c r="BG1"/>
    </row>
    <row r="2" spans="1:63" ht="12.4" customHeight="1" x14ac:dyDescent="0.2">
      <c r="A2" s="363"/>
      <c r="B2" s="364"/>
      <c r="C2" s="365"/>
      <c r="D2" s="365"/>
      <c r="E2" s="365"/>
      <c r="F2" s="366"/>
      <c r="G2" s="22"/>
      <c r="T2"/>
      <c r="Y2"/>
      <c r="Z2"/>
      <c r="AB2" s="364"/>
      <c r="AC2" s="365"/>
      <c r="AD2" s="365"/>
      <c r="AE2" s="365"/>
      <c r="AF2" s="366"/>
      <c r="AG2"/>
      <c r="AH2" s="22"/>
      <c r="AI2" s="22"/>
      <c r="AJ2" s="22"/>
      <c r="AK2" s="22"/>
      <c r="BB2" s="364"/>
      <c r="BC2" s="365"/>
      <c r="BD2" s="365"/>
      <c r="BE2" s="365"/>
      <c r="BF2" s="366"/>
      <c r="BG2"/>
      <c r="BH2" s="22"/>
      <c r="BI2" s="22"/>
      <c r="BJ2" s="22"/>
      <c r="BK2" s="22"/>
    </row>
    <row r="3" spans="1:63" ht="16.899999999999999" customHeight="1" thickBot="1" x14ac:dyDescent="0.25">
      <c r="A3" s="367" t="s">
        <v>196</v>
      </c>
      <c r="B3" s="344" t="s">
        <v>178</v>
      </c>
      <c r="C3" s="344"/>
      <c r="D3" s="344" t="s">
        <v>105</v>
      </c>
      <c r="E3" s="557" t="s">
        <v>24</v>
      </c>
      <c r="F3" s="558" t="s">
        <v>175</v>
      </c>
      <c r="G3" s="22"/>
      <c r="H3"/>
      <c r="I3"/>
      <c r="J3"/>
      <c r="K3"/>
      <c r="T3"/>
      <c r="Y3"/>
      <c r="Z3"/>
      <c r="AB3" s="344" t="s">
        <v>178</v>
      </c>
      <c r="AC3" s="344" t="s">
        <v>54</v>
      </c>
      <c r="AD3" s="344" t="s">
        <v>105</v>
      </c>
      <c r="AE3" s="557" t="str">
        <f t="shared" ref="AE3:AE23" si="0">E3</f>
        <v>Manager</v>
      </c>
      <c r="AF3" s="558" t="str">
        <f t="shared" ref="AF3:AF23" si="1">F3</f>
        <v>Department</v>
      </c>
      <c r="AG3"/>
      <c r="AH3"/>
      <c r="AI3"/>
      <c r="AJ3"/>
      <c r="AK3"/>
      <c r="BB3" s="344" t="s">
        <v>178</v>
      </c>
      <c r="BC3" s="344" t="s">
        <v>54</v>
      </c>
      <c r="BD3" s="344" t="s">
        <v>105</v>
      </c>
      <c r="BE3" s="368" t="s">
        <v>24</v>
      </c>
      <c r="BF3" s="369" t="s">
        <v>175</v>
      </c>
      <c r="BG3"/>
      <c r="BH3"/>
      <c r="BI3"/>
      <c r="BJ3"/>
      <c r="BK3"/>
    </row>
    <row r="4" spans="1:63" ht="12.4" customHeight="1" x14ac:dyDescent="0.2">
      <c r="A4" s="667" t="s">
        <v>39</v>
      </c>
      <c r="B4" s="670">
        <v>40603.884227060182</v>
      </c>
      <c r="C4" s="670">
        <v>40725</v>
      </c>
      <c r="D4" s="479"/>
      <c r="E4" s="560"/>
      <c r="F4" s="561"/>
      <c r="G4" s="22"/>
      <c r="H4"/>
      <c r="I4"/>
      <c r="J4"/>
      <c r="K4"/>
      <c r="T4"/>
      <c r="Y4"/>
      <c r="Z4"/>
      <c r="AB4" s="559">
        <f t="shared" ref="AB4:AB23" si="2">B4</f>
        <v>40603.884227060182</v>
      </c>
      <c r="AC4" s="559">
        <f t="shared" ref="AC4:AC23" si="3">C4</f>
        <v>40725</v>
      </c>
      <c r="AD4" s="479">
        <f t="shared" ref="AD4:AD23" si="4">D4</f>
        <v>0</v>
      </c>
      <c r="AE4" s="560">
        <f t="shared" si="0"/>
        <v>0</v>
      </c>
      <c r="AF4" s="561">
        <f t="shared" si="1"/>
        <v>0</v>
      </c>
      <c r="AG4"/>
      <c r="AH4"/>
      <c r="AI4"/>
      <c r="AJ4"/>
      <c r="AK4"/>
      <c r="BB4" s="603">
        <f t="shared" ref="BB4:BB23" si="5">B4-AB4</f>
        <v>0</v>
      </c>
      <c r="BC4" s="603">
        <f t="shared" ref="BC4:BC23" si="6">C4-AC4</f>
        <v>0</v>
      </c>
      <c r="BD4" s="93">
        <f t="shared" ref="BD4:BD23" si="7">AD4-D4</f>
        <v>0</v>
      </c>
      <c r="BE4" s="130">
        <f t="shared" ref="BE4:BE23" si="8">AE4</f>
        <v>0</v>
      </c>
      <c r="BF4" s="243">
        <f t="shared" ref="BF4:BF23" si="9">AF4</f>
        <v>0</v>
      </c>
      <c r="BG4"/>
      <c r="BH4"/>
      <c r="BI4"/>
      <c r="BJ4"/>
      <c r="BK4"/>
    </row>
    <row r="5" spans="1:63" ht="12.4" customHeight="1" x14ac:dyDescent="0.2">
      <c r="A5" s="668" t="s">
        <v>149</v>
      </c>
      <c r="B5" s="671">
        <v>40603.892013888886</v>
      </c>
      <c r="C5" s="671"/>
      <c r="D5" s="482"/>
      <c r="E5" s="472"/>
      <c r="F5" s="563"/>
      <c r="G5" s="22"/>
      <c r="H5"/>
      <c r="I5"/>
      <c r="J5"/>
      <c r="K5"/>
      <c r="T5"/>
      <c r="Y5"/>
      <c r="Z5"/>
      <c r="AB5" s="562">
        <f t="shared" si="2"/>
        <v>40603.892013888886</v>
      </c>
      <c r="AC5" s="562">
        <f t="shared" si="3"/>
        <v>0</v>
      </c>
      <c r="AD5" s="482">
        <f t="shared" si="4"/>
        <v>0</v>
      </c>
      <c r="AE5" s="472">
        <f t="shared" si="0"/>
        <v>0</v>
      </c>
      <c r="AF5" s="563">
        <f t="shared" si="1"/>
        <v>0</v>
      </c>
      <c r="AG5"/>
      <c r="AH5"/>
      <c r="AI5"/>
      <c r="AJ5"/>
      <c r="AK5"/>
      <c r="BB5" s="603">
        <f t="shared" si="5"/>
        <v>0</v>
      </c>
      <c r="BC5" s="603">
        <f t="shared" si="6"/>
        <v>0</v>
      </c>
      <c r="BD5" s="93">
        <f t="shared" si="7"/>
        <v>0</v>
      </c>
      <c r="BE5" s="130">
        <f t="shared" si="8"/>
        <v>0</v>
      </c>
      <c r="BF5" s="243">
        <f t="shared" si="9"/>
        <v>0</v>
      </c>
      <c r="BG5"/>
      <c r="BH5"/>
      <c r="BI5"/>
      <c r="BJ5"/>
      <c r="BK5"/>
    </row>
    <row r="6" spans="1:63" ht="12.4" customHeight="1" x14ac:dyDescent="0.2">
      <c r="A6" s="668" t="s">
        <v>93</v>
      </c>
      <c r="B6" s="671">
        <v>40603.886076388888</v>
      </c>
      <c r="C6" s="671">
        <v>40725</v>
      </c>
      <c r="D6" s="482"/>
      <c r="E6" s="472"/>
      <c r="F6" s="563"/>
      <c r="G6" s="22"/>
      <c r="H6"/>
      <c r="I6"/>
      <c r="J6"/>
      <c r="K6"/>
      <c r="T6"/>
      <c r="Y6"/>
      <c r="Z6"/>
      <c r="AB6" s="562">
        <f t="shared" si="2"/>
        <v>40603.886076388888</v>
      </c>
      <c r="AC6" s="562">
        <f t="shared" si="3"/>
        <v>40725</v>
      </c>
      <c r="AD6" s="482">
        <f t="shared" si="4"/>
        <v>0</v>
      </c>
      <c r="AE6" s="472">
        <f t="shared" si="0"/>
        <v>0</v>
      </c>
      <c r="AF6" s="563">
        <f t="shared" si="1"/>
        <v>0</v>
      </c>
      <c r="AG6"/>
      <c r="AH6"/>
      <c r="AI6"/>
      <c r="AJ6"/>
      <c r="AK6"/>
      <c r="BB6" s="603">
        <f t="shared" si="5"/>
        <v>0</v>
      </c>
      <c r="BC6" s="603">
        <f t="shared" si="6"/>
        <v>0</v>
      </c>
      <c r="BD6" s="93">
        <f t="shared" si="7"/>
        <v>0</v>
      </c>
      <c r="BE6" s="130">
        <f t="shared" si="8"/>
        <v>0</v>
      </c>
      <c r="BF6" s="243">
        <f t="shared" si="9"/>
        <v>0</v>
      </c>
      <c r="BG6"/>
      <c r="BH6"/>
      <c r="BI6"/>
      <c r="BJ6"/>
      <c r="BK6"/>
    </row>
    <row r="7" spans="1:63" ht="12.4" customHeight="1" x14ac:dyDescent="0.2">
      <c r="A7" s="669" t="s">
        <v>10</v>
      </c>
      <c r="B7" s="671">
        <v>40634</v>
      </c>
      <c r="C7" s="671"/>
      <c r="D7" s="482"/>
      <c r="E7" s="472"/>
      <c r="F7" s="563"/>
      <c r="G7" s="22"/>
      <c r="H7"/>
      <c r="I7"/>
      <c r="J7"/>
      <c r="K7"/>
      <c r="T7"/>
      <c r="Y7"/>
      <c r="Z7"/>
      <c r="AB7" s="562">
        <f t="shared" si="2"/>
        <v>40634</v>
      </c>
      <c r="AC7" s="562">
        <f t="shared" si="3"/>
        <v>0</v>
      </c>
      <c r="AD7" s="482">
        <f t="shared" si="4"/>
        <v>0</v>
      </c>
      <c r="AE7" s="472">
        <f t="shared" si="0"/>
        <v>0</v>
      </c>
      <c r="AF7" s="563">
        <f t="shared" si="1"/>
        <v>0</v>
      </c>
      <c r="AG7"/>
      <c r="AH7"/>
      <c r="AI7"/>
      <c r="AJ7"/>
      <c r="AK7"/>
      <c r="BB7" s="603">
        <f t="shared" si="5"/>
        <v>0</v>
      </c>
      <c r="BC7" s="603">
        <f t="shared" si="6"/>
        <v>0</v>
      </c>
      <c r="BD7" s="93">
        <f t="shared" si="7"/>
        <v>0</v>
      </c>
      <c r="BE7" s="130">
        <f t="shared" si="8"/>
        <v>0</v>
      </c>
      <c r="BF7" s="243">
        <f t="shared" si="9"/>
        <v>0</v>
      </c>
      <c r="BG7"/>
      <c r="BH7"/>
      <c r="BI7"/>
      <c r="BJ7"/>
      <c r="BK7"/>
    </row>
    <row r="8" spans="1:63" ht="12.4" customHeight="1" x14ac:dyDescent="0.2">
      <c r="A8" s="669" t="s">
        <v>166</v>
      </c>
      <c r="B8" s="671">
        <v>40695</v>
      </c>
      <c r="C8" s="671">
        <v>40725</v>
      </c>
      <c r="D8" s="482"/>
      <c r="E8" s="472"/>
      <c r="F8" s="563"/>
      <c r="G8" s="22"/>
      <c r="H8"/>
      <c r="I8"/>
      <c r="J8"/>
      <c r="K8"/>
      <c r="T8"/>
      <c r="Y8"/>
      <c r="Z8"/>
      <c r="AB8" s="562">
        <f t="shared" si="2"/>
        <v>40695</v>
      </c>
      <c r="AC8" s="562">
        <f t="shared" si="3"/>
        <v>40725</v>
      </c>
      <c r="AD8" s="482">
        <f t="shared" si="4"/>
        <v>0</v>
      </c>
      <c r="AE8" s="472">
        <f t="shared" si="0"/>
        <v>0</v>
      </c>
      <c r="AF8" s="563">
        <f t="shared" si="1"/>
        <v>0</v>
      </c>
      <c r="AG8"/>
      <c r="AH8"/>
      <c r="AI8"/>
      <c r="AJ8"/>
      <c r="AK8"/>
      <c r="BB8" s="603">
        <f t="shared" si="5"/>
        <v>0</v>
      </c>
      <c r="BC8" s="603">
        <f t="shared" si="6"/>
        <v>0</v>
      </c>
      <c r="BD8" s="93">
        <f t="shared" si="7"/>
        <v>0</v>
      </c>
      <c r="BE8" s="130">
        <f t="shared" si="8"/>
        <v>0</v>
      </c>
      <c r="BF8" s="243">
        <f t="shared" si="9"/>
        <v>0</v>
      </c>
      <c r="BG8"/>
      <c r="BH8"/>
      <c r="BI8"/>
      <c r="BJ8"/>
      <c r="BK8"/>
    </row>
    <row r="9" spans="1:63" ht="12.4" customHeight="1" x14ac:dyDescent="0.2">
      <c r="A9" s="668" t="s">
        <v>53</v>
      </c>
      <c r="B9" s="671">
        <v>40695</v>
      </c>
      <c r="C9" s="671"/>
      <c r="D9" s="482"/>
      <c r="E9" s="472"/>
      <c r="F9" s="563"/>
      <c r="G9" s="22"/>
      <c r="H9"/>
      <c r="I9"/>
      <c r="J9"/>
      <c r="K9"/>
      <c r="T9"/>
      <c r="Y9"/>
      <c r="Z9"/>
      <c r="AB9" s="562">
        <f t="shared" si="2"/>
        <v>40695</v>
      </c>
      <c r="AC9" s="562">
        <f t="shared" si="3"/>
        <v>0</v>
      </c>
      <c r="AD9" s="482">
        <f t="shared" si="4"/>
        <v>0</v>
      </c>
      <c r="AE9" s="472">
        <f t="shared" si="0"/>
        <v>0</v>
      </c>
      <c r="AF9" s="563">
        <f t="shared" si="1"/>
        <v>0</v>
      </c>
      <c r="AG9"/>
      <c r="AH9"/>
      <c r="AI9"/>
      <c r="AJ9"/>
      <c r="AK9"/>
      <c r="BB9" s="603">
        <f t="shared" si="5"/>
        <v>0</v>
      </c>
      <c r="BC9" s="603">
        <f t="shared" si="6"/>
        <v>0</v>
      </c>
      <c r="BD9" s="93">
        <f t="shared" si="7"/>
        <v>0</v>
      </c>
      <c r="BE9" s="130">
        <f t="shared" si="8"/>
        <v>0</v>
      </c>
      <c r="BF9" s="243">
        <f t="shared" si="9"/>
        <v>0</v>
      </c>
      <c r="BG9"/>
      <c r="BH9"/>
      <c r="BI9"/>
      <c r="BJ9"/>
      <c r="BK9"/>
    </row>
    <row r="10" spans="1:63" ht="12.4" customHeight="1" x14ac:dyDescent="0.2">
      <c r="A10" s="668" t="s">
        <v>176</v>
      </c>
      <c r="B10" s="671">
        <v>40725</v>
      </c>
      <c r="C10" s="671"/>
      <c r="D10" s="482"/>
      <c r="E10" s="472"/>
      <c r="F10" s="563"/>
      <c r="G10" s="22"/>
      <c r="H10"/>
      <c r="I10"/>
      <c r="J10"/>
      <c r="K10"/>
      <c r="T10"/>
      <c r="Y10"/>
      <c r="Z10"/>
      <c r="AB10" s="562">
        <f t="shared" si="2"/>
        <v>40725</v>
      </c>
      <c r="AC10" s="562">
        <f t="shared" si="3"/>
        <v>0</v>
      </c>
      <c r="AD10" s="482">
        <f t="shared" si="4"/>
        <v>0</v>
      </c>
      <c r="AE10" s="472">
        <f t="shared" si="0"/>
        <v>0</v>
      </c>
      <c r="AF10" s="563">
        <f t="shared" si="1"/>
        <v>0</v>
      </c>
      <c r="AG10"/>
      <c r="AH10"/>
      <c r="AI10"/>
      <c r="AJ10"/>
      <c r="AK10"/>
      <c r="BB10" s="603">
        <f t="shared" si="5"/>
        <v>0</v>
      </c>
      <c r="BC10" s="603">
        <f t="shared" si="6"/>
        <v>0</v>
      </c>
      <c r="BD10" s="93">
        <f t="shared" si="7"/>
        <v>0</v>
      </c>
      <c r="BE10" s="130">
        <f t="shared" si="8"/>
        <v>0</v>
      </c>
      <c r="BF10" s="243">
        <f t="shared" si="9"/>
        <v>0</v>
      </c>
      <c r="BG10"/>
      <c r="BH10"/>
      <c r="BI10"/>
      <c r="BJ10"/>
      <c r="BK10"/>
    </row>
    <row r="11" spans="1:63" ht="12.4" customHeight="1" x14ac:dyDescent="0.2">
      <c r="A11" s="668" t="s">
        <v>180</v>
      </c>
      <c r="B11" s="671">
        <v>40756</v>
      </c>
      <c r="C11" s="671">
        <v>40787</v>
      </c>
      <c r="D11" s="482"/>
      <c r="E11" s="472"/>
      <c r="F11" s="563"/>
      <c r="G11" s="22"/>
      <c r="H11"/>
      <c r="I11"/>
      <c r="J11"/>
      <c r="K11"/>
      <c r="T11"/>
      <c r="Y11"/>
      <c r="Z11"/>
      <c r="AB11" s="562">
        <f t="shared" si="2"/>
        <v>40756</v>
      </c>
      <c r="AC11" s="562">
        <f t="shared" si="3"/>
        <v>40787</v>
      </c>
      <c r="AD11" s="482">
        <f t="shared" si="4"/>
        <v>0</v>
      </c>
      <c r="AE11" s="472">
        <f t="shared" si="0"/>
        <v>0</v>
      </c>
      <c r="AF11" s="563">
        <f t="shared" si="1"/>
        <v>0</v>
      </c>
      <c r="AG11"/>
      <c r="AH11"/>
      <c r="AI11"/>
      <c r="AJ11"/>
      <c r="AK11"/>
      <c r="BB11" s="603">
        <f t="shared" si="5"/>
        <v>0</v>
      </c>
      <c r="BC11" s="603">
        <f t="shared" si="6"/>
        <v>0</v>
      </c>
      <c r="BD11" s="93">
        <f t="shared" si="7"/>
        <v>0</v>
      </c>
      <c r="BE11" s="130">
        <f t="shared" si="8"/>
        <v>0</v>
      </c>
      <c r="BF11" s="243">
        <f t="shared" si="9"/>
        <v>0</v>
      </c>
      <c r="BG11"/>
      <c r="BH11"/>
      <c r="BI11"/>
      <c r="BJ11"/>
      <c r="BK11"/>
    </row>
    <row r="12" spans="1:63" ht="12.4" customHeight="1" x14ac:dyDescent="0.2">
      <c r="A12" s="668" t="s">
        <v>222</v>
      </c>
      <c r="B12" s="671">
        <v>40787</v>
      </c>
      <c r="C12" s="671">
        <v>40817</v>
      </c>
      <c r="D12" s="482"/>
      <c r="E12" s="472"/>
      <c r="F12" s="563"/>
      <c r="G12" s="22"/>
      <c r="H12"/>
      <c r="I12"/>
      <c r="J12"/>
      <c r="K12"/>
      <c r="T12"/>
      <c r="Y12"/>
      <c r="Z12"/>
      <c r="AB12" s="562">
        <f t="shared" si="2"/>
        <v>40787</v>
      </c>
      <c r="AC12" s="562">
        <f t="shared" si="3"/>
        <v>40817</v>
      </c>
      <c r="AD12" s="482">
        <f t="shared" si="4"/>
        <v>0</v>
      </c>
      <c r="AE12" s="472">
        <f t="shared" si="0"/>
        <v>0</v>
      </c>
      <c r="AF12" s="563">
        <f t="shared" si="1"/>
        <v>0</v>
      </c>
      <c r="AG12"/>
      <c r="AH12"/>
      <c r="AI12"/>
      <c r="AJ12"/>
      <c r="AK12"/>
      <c r="BB12" s="603">
        <f t="shared" si="5"/>
        <v>0</v>
      </c>
      <c r="BC12" s="603">
        <f t="shared" si="6"/>
        <v>0</v>
      </c>
      <c r="BD12" s="93">
        <f t="shared" si="7"/>
        <v>0</v>
      </c>
      <c r="BE12" s="130">
        <f t="shared" si="8"/>
        <v>0</v>
      </c>
      <c r="BF12" s="243">
        <f t="shared" si="9"/>
        <v>0</v>
      </c>
      <c r="BG12"/>
      <c r="BH12"/>
      <c r="BI12"/>
      <c r="BJ12"/>
      <c r="BK12"/>
    </row>
    <row r="13" spans="1:63" ht="12.4" customHeight="1" x14ac:dyDescent="0.2">
      <c r="A13" s="668" t="s">
        <v>147</v>
      </c>
      <c r="B13" s="671">
        <v>40817</v>
      </c>
      <c r="C13" s="671">
        <v>40848</v>
      </c>
      <c r="D13" s="482"/>
      <c r="E13" s="472"/>
      <c r="F13" s="563"/>
      <c r="G13" s="22"/>
      <c r="H13"/>
      <c r="I13"/>
      <c r="J13"/>
      <c r="K13"/>
      <c r="T13"/>
      <c r="Y13"/>
      <c r="Z13"/>
      <c r="AB13" s="562">
        <f t="shared" si="2"/>
        <v>40817</v>
      </c>
      <c r="AC13" s="562">
        <f t="shared" si="3"/>
        <v>40848</v>
      </c>
      <c r="AD13" s="482">
        <f t="shared" si="4"/>
        <v>0</v>
      </c>
      <c r="AE13" s="472">
        <f t="shared" si="0"/>
        <v>0</v>
      </c>
      <c r="AF13" s="563">
        <f t="shared" si="1"/>
        <v>0</v>
      </c>
      <c r="AG13"/>
      <c r="AH13"/>
      <c r="AI13"/>
      <c r="AJ13"/>
      <c r="AK13"/>
      <c r="BB13" s="603">
        <f t="shared" si="5"/>
        <v>0</v>
      </c>
      <c r="BC13" s="603">
        <f t="shared" si="6"/>
        <v>0</v>
      </c>
      <c r="BD13" s="93">
        <f t="shared" si="7"/>
        <v>0</v>
      </c>
      <c r="BE13" s="130">
        <f t="shared" si="8"/>
        <v>0</v>
      </c>
      <c r="BF13" s="243">
        <f t="shared" si="9"/>
        <v>0</v>
      </c>
      <c r="BG13"/>
      <c r="BH13"/>
      <c r="BI13"/>
      <c r="BJ13"/>
      <c r="BK13"/>
    </row>
    <row r="14" spans="1:63" ht="12.4" customHeight="1" x14ac:dyDescent="0.2">
      <c r="A14" s="668" t="s">
        <v>104</v>
      </c>
      <c r="B14" s="671">
        <v>40848</v>
      </c>
      <c r="C14" s="671">
        <v>40878</v>
      </c>
      <c r="D14" s="482"/>
      <c r="E14" s="472"/>
      <c r="F14" s="563"/>
      <c r="G14" s="22"/>
      <c r="H14"/>
      <c r="I14"/>
      <c r="J14"/>
      <c r="K14"/>
      <c r="T14"/>
      <c r="Y14"/>
      <c r="Z14"/>
      <c r="AB14" s="562">
        <f t="shared" si="2"/>
        <v>40848</v>
      </c>
      <c r="AC14" s="562">
        <f t="shared" si="3"/>
        <v>40878</v>
      </c>
      <c r="AD14" s="482">
        <f t="shared" si="4"/>
        <v>0</v>
      </c>
      <c r="AE14" s="472">
        <f t="shared" si="0"/>
        <v>0</v>
      </c>
      <c r="AF14" s="563">
        <f t="shared" si="1"/>
        <v>0</v>
      </c>
      <c r="AG14"/>
      <c r="AH14"/>
      <c r="AI14"/>
      <c r="AJ14"/>
      <c r="AK14"/>
      <c r="BB14" s="603">
        <f t="shared" si="5"/>
        <v>0</v>
      </c>
      <c r="BC14" s="603">
        <f t="shared" si="6"/>
        <v>0</v>
      </c>
      <c r="BD14" s="93">
        <f t="shared" si="7"/>
        <v>0</v>
      </c>
      <c r="BE14" s="130">
        <f t="shared" si="8"/>
        <v>0</v>
      </c>
      <c r="BF14" s="243">
        <f t="shared" si="9"/>
        <v>0</v>
      </c>
      <c r="BG14"/>
      <c r="BH14"/>
      <c r="BI14"/>
      <c r="BJ14"/>
      <c r="BK14"/>
    </row>
    <row r="15" spans="1:63" ht="12.4" customHeight="1" x14ac:dyDescent="0.2">
      <c r="A15" s="668" t="s">
        <v>173</v>
      </c>
      <c r="B15" s="671" t="s">
        <v>91</v>
      </c>
      <c r="C15" s="671"/>
      <c r="D15" s="482"/>
      <c r="E15" s="472"/>
      <c r="F15" s="563"/>
      <c r="G15" s="22"/>
      <c r="H15"/>
      <c r="I15"/>
      <c r="J15"/>
      <c r="K15"/>
      <c r="T15"/>
      <c r="Y15"/>
      <c r="Z15"/>
      <c r="AB15" s="562" t="str">
        <f t="shared" si="2"/>
        <v>No later than 12/31/2011</v>
      </c>
      <c r="AC15" s="562">
        <f t="shared" si="3"/>
        <v>0</v>
      </c>
      <c r="AD15" s="482">
        <f t="shared" si="4"/>
        <v>0</v>
      </c>
      <c r="AE15" s="472">
        <f t="shared" si="0"/>
        <v>0</v>
      </c>
      <c r="AF15" s="563">
        <f t="shared" si="1"/>
        <v>0</v>
      </c>
      <c r="AG15"/>
      <c r="AH15"/>
      <c r="AI15"/>
      <c r="AJ15"/>
      <c r="AK15"/>
      <c r="BB15" s="603" t="e">
        <f t="shared" si="5"/>
        <v>#VALUE!</v>
      </c>
      <c r="BC15" s="603">
        <f t="shared" si="6"/>
        <v>0</v>
      </c>
      <c r="BD15" s="93">
        <f t="shared" si="7"/>
        <v>0</v>
      </c>
      <c r="BE15" s="130">
        <f t="shared" si="8"/>
        <v>0</v>
      </c>
      <c r="BF15" s="243">
        <f t="shared" si="9"/>
        <v>0</v>
      </c>
      <c r="BG15"/>
      <c r="BH15"/>
      <c r="BI15"/>
      <c r="BJ15"/>
      <c r="BK15"/>
    </row>
    <row r="16" spans="1:63" ht="12.4" customHeight="1" x14ac:dyDescent="0.2">
      <c r="A16" s="668" t="s">
        <v>86</v>
      </c>
      <c r="B16" s="671">
        <v>40940</v>
      </c>
      <c r="C16" s="671"/>
      <c r="D16" s="482"/>
      <c r="E16" s="472"/>
      <c r="F16" s="563"/>
      <c r="G16" s="22"/>
      <c r="H16"/>
      <c r="I16"/>
      <c r="J16"/>
      <c r="K16"/>
      <c r="T16"/>
      <c r="Y16"/>
      <c r="Z16"/>
      <c r="AB16" s="562">
        <f t="shared" si="2"/>
        <v>40940</v>
      </c>
      <c r="AC16" s="562">
        <f t="shared" si="3"/>
        <v>0</v>
      </c>
      <c r="AD16" s="482">
        <f t="shared" si="4"/>
        <v>0</v>
      </c>
      <c r="AE16" s="472">
        <f t="shared" si="0"/>
        <v>0</v>
      </c>
      <c r="AF16" s="563">
        <f t="shared" si="1"/>
        <v>0</v>
      </c>
      <c r="AG16"/>
      <c r="AH16"/>
      <c r="AI16"/>
      <c r="AJ16"/>
      <c r="AK16"/>
      <c r="BB16" s="603">
        <f t="shared" si="5"/>
        <v>0</v>
      </c>
      <c r="BC16" s="603">
        <f t="shared" si="6"/>
        <v>0</v>
      </c>
      <c r="BD16" s="93">
        <f t="shared" si="7"/>
        <v>0</v>
      </c>
      <c r="BE16" s="130">
        <f t="shared" si="8"/>
        <v>0</v>
      </c>
      <c r="BF16" s="243">
        <f t="shared" si="9"/>
        <v>0</v>
      </c>
      <c r="BG16"/>
      <c r="BH16"/>
      <c r="BI16"/>
      <c r="BJ16"/>
      <c r="BK16"/>
    </row>
    <row r="17" spans="1:63" ht="12.4" customHeight="1" x14ac:dyDescent="0.2">
      <c r="A17" s="668" t="s">
        <v>216</v>
      </c>
      <c r="B17" s="671">
        <v>40940</v>
      </c>
      <c r="C17" s="671"/>
      <c r="D17" s="482"/>
      <c r="E17" s="472"/>
      <c r="F17" s="563"/>
      <c r="G17" s="22"/>
      <c r="H17"/>
      <c r="I17"/>
      <c r="J17"/>
      <c r="K17"/>
      <c r="T17"/>
      <c r="Y17"/>
      <c r="Z17"/>
      <c r="AB17" s="562">
        <f t="shared" si="2"/>
        <v>40940</v>
      </c>
      <c r="AC17" s="562">
        <f t="shared" si="3"/>
        <v>0</v>
      </c>
      <c r="AD17" s="482">
        <f t="shared" si="4"/>
        <v>0</v>
      </c>
      <c r="AE17" s="472">
        <f t="shared" si="0"/>
        <v>0</v>
      </c>
      <c r="AF17" s="563">
        <f t="shared" si="1"/>
        <v>0</v>
      </c>
      <c r="AG17"/>
      <c r="AH17"/>
      <c r="AI17"/>
      <c r="AJ17"/>
      <c r="AK17"/>
      <c r="BB17" s="603">
        <f t="shared" si="5"/>
        <v>0</v>
      </c>
      <c r="BC17" s="603">
        <f t="shared" si="6"/>
        <v>0</v>
      </c>
      <c r="BD17" s="93">
        <f t="shared" si="7"/>
        <v>0</v>
      </c>
      <c r="BE17" s="130">
        <f t="shared" si="8"/>
        <v>0</v>
      </c>
      <c r="BF17" s="243">
        <f t="shared" si="9"/>
        <v>0</v>
      </c>
      <c r="BG17"/>
      <c r="BH17"/>
      <c r="BI17"/>
      <c r="BJ17"/>
      <c r="BK17"/>
    </row>
    <row r="18" spans="1:63" ht="12.4" customHeight="1" x14ac:dyDescent="0.2">
      <c r="A18" s="668" t="s">
        <v>33</v>
      </c>
      <c r="B18" s="671">
        <v>40969</v>
      </c>
      <c r="C18" s="671"/>
      <c r="D18" s="482"/>
      <c r="E18" s="472"/>
      <c r="F18" s="563"/>
      <c r="G18" s="22"/>
      <c r="H18"/>
      <c r="I18"/>
      <c r="J18"/>
      <c r="K18"/>
      <c r="T18"/>
      <c r="Y18"/>
      <c r="Z18"/>
      <c r="AB18" s="562">
        <f t="shared" si="2"/>
        <v>40969</v>
      </c>
      <c r="AC18" s="562">
        <f t="shared" si="3"/>
        <v>0</v>
      </c>
      <c r="AD18" s="482">
        <f t="shared" si="4"/>
        <v>0</v>
      </c>
      <c r="AE18" s="472">
        <f t="shared" si="0"/>
        <v>0</v>
      </c>
      <c r="AF18" s="563">
        <f t="shared" si="1"/>
        <v>0</v>
      </c>
      <c r="AG18"/>
      <c r="AH18"/>
      <c r="AI18"/>
      <c r="AJ18"/>
      <c r="AK18"/>
      <c r="BB18" s="603">
        <f t="shared" si="5"/>
        <v>0</v>
      </c>
      <c r="BC18" s="603">
        <f t="shared" si="6"/>
        <v>0</v>
      </c>
      <c r="BD18" s="93">
        <f t="shared" si="7"/>
        <v>0</v>
      </c>
      <c r="BE18" s="130">
        <f t="shared" si="8"/>
        <v>0</v>
      </c>
      <c r="BF18" s="243">
        <f t="shared" si="9"/>
        <v>0</v>
      </c>
      <c r="BG18"/>
      <c r="BH18"/>
      <c r="BI18"/>
      <c r="BJ18"/>
      <c r="BK18"/>
    </row>
    <row r="19" spans="1:63" ht="12.4" customHeight="1" x14ac:dyDescent="0.2">
      <c r="A19" s="668" t="s">
        <v>138</v>
      </c>
      <c r="B19" s="671">
        <v>41000</v>
      </c>
      <c r="C19" s="671"/>
      <c r="D19" s="482"/>
      <c r="E19" s="472"/>
      <c r="F19" s="563"/>
      <c r="G19" s="22"/>
      <c r="H19"/>
      <c r="I19"/>
      <c r="J19"/>
      <c r="K19"/>
      <c r="T19"/>
      <c r="Y19"/>
      <c r="Z19"/>
      <c r="AB19" s="562">
        <f t="shared" si="2"/>
        <v>41000</v>
      </c>
      <c r="AC19" s="562">
        <f t="shared" si="3"/>
        <v>0</v>
      </c>
      <c r="AD19" s="482">
        <f t="shared" si="4"/>
        <v>0</v>
      </c>
      <c r="AE19" s="472">
        <f t="shared" si="0"/>
        <v>0</v>
      </c>
      <c r="AF19" s="563">
        <f t="shared" si="1"/>
        <v>0</v>
      </c>
      <c r="AG19"/>
      <c r="AH19"/>
      <c r="AI19"/>
      <c r="AJ19"/>
      <c r="AK19"/>
      <c r="BB19" s="603">
        <f t="shared" si="5"/>
        <v>0</v>
      </c>
      <c r="BC19" s="603">
        <f t="shared" si="6"/>
        <v>0</v>
      </c>
      <c r="BD19" s="93">
        <f t="shared" si="7"/>
        <v>0</v>
      </c>
      <c r="BE19" s="130">
        <f t="shared" si="8"/>
        <v>0</v>
      </c>
      <c r="BF19" s="243">
        <f t="shared" si="9"/>
        <v>0</v>
      </c>
      <c r="BG19"/>
      <c r="BH19"/>
      <c r="BI19"/>
      <c r="BJ19"/>
      <c r="BK19"/>
    </row>
    <row r="20" spans="1:63" ht="12.4" customHeight="1" x14ac:dyDescent="0.2">
      <c r="A20" s="668" t="s">
        <v>114</v>
      </c>
      <c r="B20" s="671">
        <v>41030</v>
      </c>
      <c r="C20" s="671"/>
      <c r="D20" s="482"/>
      <c r="E20" s="472"/>
      <c r="F20" s="563"/>
      <c r="G20" s="22"/>
      <c r="H20"/>
      <c r="I20"/>
      <c r="J20"/>
      <c r="K20"/>
      <c r="T20"/>
      <c r="Y20"/>
      <c r="Z20"/>
      <c r="AB20" s="562">
        <f t="shared" si="2"/>
        <v>41030</v>
      </c>
      <c r="AC20" s="562">
        <f t="shared" si="3"/>
        <v>0</v>
      </c>
      <c r="AD20" s="482">
        <f t="shared" si="4"/>
        <v>0</v>
      </c>
      <c r="AE20" s="472">
        <f t="shared" si="0"/>
        <v>0</v>
      </c>
      <c r="AF20" s="563">
        <f t="shared" si="1"/>
        <v>0</v>
      </c>
      <c r="AG20"/>
      <c r="AH20"/>
      <c r="AI20"/>
      <c r="AJ20"/>
      <c r="AK20"/>
      <c r="BB20" s="603">
        <f t="shared" si="5"/>
        <v>0</v>
      </c>
      <c r="BC20" s="603">
        <f t="shared" si="6"/>
        <v>0</v>
      </c>
      <c r="BD20" s="93">
        <f t="shared" si="7"/>
        <v>0</v>
      </c>
      <c r="BE20" s="130">
        <f t="shared" si="8"/>
        <v>0</v>
      </c>
      <c r="BF20" s="243">
        <f t="shared" si="9"/>
        <v>0</v>
      </c>
      <c r="BG20"/>
      <c r="BH20"/>
      <c r="BI20"/>
      <c r="BJ20"/>
      <c r="BK20"/>
    </row>
    <row r="21" spans="1:63" ht="12.4" customHeight="1" x14ac:dyDescent="0.2">
      <c r="A21" s="668" t="s">
        <v>77</v>
      </c>
      <c r="B21" s="671">
        <v>41061</v>
      </c>
      <c r="C21" s="671"/>
      <c r="D21" s="482"/>
      <c r="E21" s="472"/>
      <c r="F21" s="563"/>
      <c r="G21" s="22"/>
      <c r="H21"/>
      <c r="I21"/>
      <c r="J21"/>
      <c r="K21"/>
      <c r="T21"/>
      <c r="Y21"/>
      <c r="Z21"/>
      <c r="AB21" s="562">
        <f t="shared" si="2"/>
        <v>41061</v>
      </c>
      <c r="AC21" s="562">
        <f t="shared" si="3"/>
        <v>0</v>
      </c>
      <c r="AD21" s="482">
        <f t="shared" si="4"/>
        <v>0</v>
      </c>
      <c r="AE21" s="472">
        <f t="shared" si="0"/>
        <v>0</v>
      </c>
      <c r="AF21" s="563">
        <f t="shared" si="1"/>
        <v>0</v>
      </c>
      <c r="AG21"/>
      <c r="AH21"/>
      <c r="AI21"/>
      <c r="AJ21"/>
      <c r="AK21"/>
      <c r="BB21" s="603">
        <f t="shared" si="5"/>
        <v>0</v>
      </c>
      <c r="BC21" s="603">
        <f t="shared" si="6"/>
        <v>0</v>
      </c>
      <c r="BD21" s="93">
        <f t="shared" si="7"/>
        <v>0</v>
      </c>
      <c r="BE21" s="130">
        <f t="shared" si="8"/>
        <v>0</v>
      </c>
      <c r="BF21" s="243">
        <f t="shared" si="9"/>
        <v>0</v>
      </c>
      <c r="BG21"/>
      <c r="BH21"/>
      <c r="BI21"/>
      <c r="BJ21"/>
      <c r="BK21"/>
    </row>
    <row r="22" spans="1:63" ht="12.4" customHeight="1" x14ac:dyDescent="0.2">
      <c r="A22" s="668" t="s">
        <v>9</v>
      </c>
      <c r="B22" s="671">
        <v>41091</v>
      </c>
      <c r="C22" s="671"/>
      <c r="D22" s="482"/>
      <c r="E22" s="472"/>
      <c r="F22" s="563"/>
      <c r="G22" s="22"/>
      <c r="H22"/>
      <c r="I22"/>
      <c r="J22"/>
      <c r="K22"/>
      <c r="T22"/>
      <c r="Y22"/>
      <c r="Z22"/>
      <c r="AB22" s="562">
        <f t="shared" si="2"/>
        <v>41091</v>
      </c>
      <c r="AC22" s="562">
        <f t="shared" si="3"/>
        <v>0</v>
      </c>
      <c r="AD22" s="482">
        <f t="shared" si="4"/>
        <v>0</v>
      </c>
      <c r="AE22" s="472">
        <f t="shared" si="0"/>
        <v>0</v>
      </c>
      <c r="AF22" s="563">
        <f t="shared" si="1"/>
        <v>0</v>
      </c>
      <c r="AG22"/>
      <c r="AH22"/>
      <c r="AI22"/>
      <c r="AJ22"/>
      <c r="AK22"/>
      <c r="BB22" s="603">
        <f t="shared" si="5"/>
        <v>0</v>
      </c>
      <c r="BC22" s="603">
        <f t="shared" si="6"/>
        <v>0</v>
      </c>
      <c r="BD22" s="93">
        <f t="shared" si="7"/>
        <v>0</v>
      </c>
      <c r="BE22" s="130">
        <f t="shared" si="8"/>
        <v>0</v>
      </c>
      <c r="BF22" s="243">
        <f t="shared" si="9"/>
        <v>0</v>
      </c>
      <c r="BG22"/>
      <c r="BH22"/>
      <c r="BI22"/>
      <c r="BJ22"/>
      <c r="BK22"/>
    </row>
    <row r="23" spans="1:63" ht="13.15" customHeight="1" thickBot="1" x14ac:dyDescent="0.25">
      <c r="A23" s="499"/>
      <c r="B23" s="564"/>
      <c r="C23" s="564"/>
      <c r="D23" s="487"/>
      <c r="E23" s="556"/>
      <c r="F23" s="565"/>
      <c r="G23" s="22"/>
      <c r="H23"/>
      <c r="I23"/>
      <c r="J23"/>
      <c r="K23"/>
      <c r="T23"/>
      <c r="Y23"/>
      <c r="Z23"/>
      <c r="AB23" s="564">
        <f t="shared" si="2"/>
        <v>0</v>
      </c>
      <c r="AC23" s="564">
        <f t="shared" si="3"/>
        <v>0</v>
      </c>
      <c r="AD23" s="487">
        <f t="shared" si="4"/>
        <v>0</v>
      </c>
      <c r="AE23" s="556">
        <f t="shared" si="0"/>
        <v>0</v>
      </c>
      <c r="AF23" s="565">
        <f t="shared" si="1"/>
        <v>0</v>
      </c>
      <c r="AG23"/>
      <c r="AH23"/>
      <c r="AI23"/>
      <c r="AJ23"/>
      <c r="AK23"/>
      <c r="BB23" s="610">
        <f t="shared" si="5"/>
        <v>0</v>
      </c>
      <c r="BC23" s="610">
        <f t="shared" si="6"/>
        <v>0</v>
      </c>
      <c r="BD23" s="96">
        <f t="shared" si="7"/>
        <v>0</v>
      </c>
      <c r="BE23" s="340">
        <f t="shared" si="8"/>
        <v>0</v>
      </c>
      <c r="BF23" s="370">
        <f t="shared" si="9"/>
        <v>0</v>
      </c>
      <c r="BG23"/>
      <c r="BH23"/>
      <c r="BI23"/>
      <c r="BJ23"/>
      <c r="BK23"/>
    </row>
    <row r="24" spans="1:63" ht="12.4" customHeight="1" x14ac:dyDescent="0.2">
      <c r="A24" s="371" t="s">
        <v>226</v>
      </c>
      <c r="B24" s="372"/>
      <c r="C24" s="372"/>
      <c r="D24" s="373">
        <f>SUM(D4:D23)</f>
        <v>0</v>
      </c>
      <c r="E24" s="372"/>
      <c r="F24" s="374"/>
      <c r="G24" s="22"/>
      <c r="H24"/>
      <c r="T24"/>
      <c r="Y24"/>
      <c r="Z24"/>
      <c r="AB24" s="372"/>
      <c r="AC24" s="372"/>
      <c r="AD24" s="373">
        <f>SUM(AD4:AD23)</f>
        <v>0</v>
      </c>
      <c r="AE24" s="372"/>
      <c r="AF24" s="374"/>
      <c r="AG24"/>
      <c r="AH24"/>
      <c r="AI24" s="375"/>
      <c r="AJ24" s="375"/>
      <c r="AK24" s="375"/>
      <c r="BB24" s="376"/>
      <c r="BC24" s="376"/>
      <c r="BD24" s="377">
        <f>SUM(BD4:BD23)</f>
        <v>0</v>
      </c>
      <c r="BE24" s="376"/>
      <c r="BF24" s="378"/>
      <c r="BG24"/>
      <c r="BH24"/>
      <c r="BI24" s="375"/>
      <c r="BJ24" s="375"/>
      <c r="BK24" s="375"/>
    </row>
    <row r="25" spans="1:63" ht="12.4" customHeight="1" x14ac:dyDescent="0.2">
      <c r="T25"/>
      <c r="Y25"/>
      <c r="Z25"/>
      <c r="AG25"/>
      <c r="BG25"/>
    </row>
    <row r="26" spans="1:63" ht="12.4" customHeight="1" x14ac:dyDescent="0.2">
      <c r="A26"/>
      <c r="V26" s="22"/>
      <c r="W26" s="22"/>
      <c r="AB26"/>
      <c r="BB26"/>
    </row>
    <row r="28" spans="1:63" ht="12.4" customHeight="1" x14ac:dyDescent="0.2">
      <c r="A28"/>
      <c r="AB28" s="22"/>
    </row>
    <row r="29" spans="1:63" ht="12.4" customHeight="1" x14ac:dyDescent="0.2">
      <c r="A29"/>
      <c r="AB29" s="22"/>
    </row>
    <row r="30" spans="1:63" ht="12.4" customHeight="1" x14ac:dyDescent="0.2">
      <c r="A30"/>
      <c r="AB30" s="22"/>
    </row>
    <row r="31" spans="1:63" ht="12.4" customHeight="1" x14ac:dyDescent="0.2">
      <c r="A31"/>
    </row>
  </sheetData>
  <pageMargins left="0.75" right="0.75" top="1" bottom="1" header="0.5" footer="0.5"/>
  <pageSetup orientation="portrait" horizont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ColWidth="9.125" defaultRowHeight="12.4" customHeight="1" x14ac:dyDescent="0.2"/>
  <cols>
    <col min="1" max="1" width="29.625" style="34" customWidth="1"/>
    <col min="2" max="14" width="9.125" style="34" customWidth="1"/>
    <col min="15" max="15" width="13.75" style="34" customWidth="1"/>
    <col min="16" max="29" width="9.125" style="34" customWidth="1"/>
    <col min="30" max="38" width="13.75" style="34" customWidth="1"/>
    <col min="39" max="39" width="15.125" style="34" customWidth="1"/>
    <col min="40" max="40" width="19.25" style="34" customWidth="1"/>
    <col min="41" max="16384" width="9.125" style="34"/>
  </cols>
  <sheetData>
    <row r="1" spans="1:40" ht="16.149999999999999" customHeight="1" x14ac:dyDescent="0.2">
      <c r="A1" s="2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7"/>
      <c r="AM1"/>
    </row>
    <row r="2" spans="1:40" ht="12.4" customHeight="1" x14ac:dyDescent="0.2">
      <c r="A2" s="379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1" t="e">
        <f>IF(PS_DateSetting=1," Year 1",IF(PS_StartingMonth&gt;1,"FY "&amp;PS_StartingYear+1,PS_StartingYear))</f>
        <v>#REF!</v>
      </c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 t="e">
        <f>IF(PS_DateSetting=1," Year 2",IF(PS_StartingMonth&gt;1,"FY "&amp;PS_StartingYear+2,PS_StartingYear+1))</f>
        <v>#REF!</v>
      </c>
      <c r="AE2" s="381" t="e">
        <f>IF(PS_DateSetting=1," Year 3",IF(PS_StartingMonth&gt;1,"FY "&amp;PS_StartingYear+3,PS_StartingYear+2))</f>
        <v>#REF!</v>
      </c>
      <c r="AF2" s="381" t="e">
        <f>IF(PS_DateSetting=1," Year 4",IF(PS_StartingMonth&gt;1,"FY "&amp;PS_StartingYear+4,PS_StartingYear+3))</f>
        <v>#REF!</v>
      </c>
      <c r="AG2" s="381" t="e">
        <f>IF(PS_DateSetting=1," Year 5",IF(PS_StartingMonth&gt;1,"FY "&amp;PS_StartingYear+5,PS_StartingYear+4))</f>
        <v>#REF!</v>
      </c>
      <c r="AH2" s="381" t="e">
        <f>IF(PS_DateSetting=1," Year 6",IF(PS_StartingMonth&gt;1,"FY "&amp;PS_StartingYear+6,PS_StartingYear+5))</f>
        <v>#REF!</v>
      </c>
      <c r="AI2" s="381" t="e">
        <f>IF(PS_DateSetting=1," Year 7",IF(PS_StartingMonth&gt;1,"FY "&amp;PS_StartingYear+7,PS_StartingYear+6))</f>
        <v>#REF!</v>
      </c>
      <c r="AJ2" s="381" t="e">
        <f>IF(PS_DateSetting=1," Year 8",IF(PS_StartingMonth&gt;1,"FY "&amp;PS_StartingYear+8,PS_StartingYear+7))</f>
        <v>#REF!</v>
      </c>
      <c r="AK2" s="381" t="e">
        <f>IF(PS_DateSetting=1," Year 9",IF(PS_StartingMonth&gt;1,"FY "&amp;PS_StartingYear+9,PS_StartingYear+8))</f>
        <v>#REF!</v>
      </c>
      <c r="AL2" s="382" t="e">
        <f>IF(PS_DateSetting=1," Year 10",IF(PS_StartingMonth&gt;1,"FY "&amp;PS_StartingYear+10,PS_StartingYear+9))</f>
        <v>#REF!</v>
      </c>
      <c r="AM2"/>
      <c r="AN2"/>
    </row>
    <row r="3" spans="1:40" ht="12.4" customHeight="1" x14ac:dyDescent="0.2">
      <c r="A3" s="383" t="e">
        <f>IF(PS_Nonprofit=TRUE,"Funding","Sales")</f>
        <v>#REF!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>
        <f>sales</f>
        <v>0</v>
      </c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 t="e">
        <f>IF(PS_AnnualDetail,'P&amp;L'!AG3,'P&amp;L'!#REF!)</f>
        <v>#REF!</v>
      </c>
      <c r="AE3" s="385">
        <f>sales</f>
        <v>1410937.5</v>
      </c>
      <c r="AF3" s="386">
        <f>sales</f>
        <v>1509375</v>
      </c>
      <c r="AG3" s="386">
        <f>sales</f>
        <v>10604062.5</v>
      </c>
      <c r="AH3" s="566">
        <v>0</v>
      </c>
      <c r="AI3" s="566">
        <v>0</v>
      </c>
      <c r="AJ3" s="566">
        <v>0</v>
      </c>
      <c r="AK3" s="566">
        <v>0</v>
      </c>
      <c r="AL3" s="567">
        <v>0</v>
      </c>
      <c r="AM3"/>
      <c r="AN3"/>
    </row>
    <row r="4" spans="1:40" ht="12.4" customHeight="1" x14ac:dyDescent="0.2">
      <c r="A4" s="53" t="e">
        <f>IF(PS_Nonprofit=TRUE,"Cost of Funding","Cost of Sales")</f>
        <v>#REF!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11">
        <f>total_cost_of_sales</f>
        <v>0</v>
      </c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 t="e">
        <f>IF(PS_AnnualDetail,'P&amp;L'!AG10,'P&amp;L'!#REF!)</f>
        <v>#REF!</v>
      </c>
      <c r="AE4" s="211">
        <f>total_cost_of_sales</f>
        <v>102395.83333333333</v>
      </c>
      <c r="AF4" s="44">
        <f>total_cost_of_sales</f>
        <v>108958.33333333333</v>
      </c>
      <c r="AG4" s="44">
        <f>total_cost_of_sales</f>
        <v>806937.5</v>
      </c>
      <c r="AH4" s="482">
        <v>0</v>
      </c>
      <c r="AI4" s="482">
        <v>0</v>
      </c>
      <c r="AJ4" s="482">
        <v>0</v>
      </c>
      <c r="AK4" s="482">
        <v>0</v>
      </c>
      <c r="AL4" s="484">
        <v>0</v>
      </c>
      <c r="AM4"/>
      <c r="AN4"/>
    </row>
    <row r="5" spans="1:40" ht="12.4" customHeight="1" x14ac:dyDescent="0.2">
      <c r="A5" s="53" t="e">
        <f>IF(PS_Nonprofit,"Gross Surplus","Gross Margin")</f>
        <v>#REF!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11">
        <f>gross_margin</f>
        <v>0</v>
      </c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 t="e">
        <f>IF(PS_AnnualDetail,'P&amp;L'!AG12,'P&amp;L'!#REF!)</f>
        <v>#REF!</v>
      </c>
      <c r="AE5" s="211">
        <f>gross_margin</f>
        <v>1308541.6666666667</v>
      </c>
      <c r="AF5" s="211">
        <f t="shared" ref="AF5:AL5" si="0">AF3-AF4</f>
        <v>1400416.6666666667</v>
      </c>
      <c r="AG5" s="211">
        <f t="shared" si="0"/>
        <v>9797125</v>
      </c>
      <c r="AH5" s="211">
        <f t="shared" si="0"/>
        <v>0</v>
      </c>
      <c r="AI5" s="211">
        <f t="shared" si="0"/>
        <v>0</v>
      </c>
      <c r="AJ5" s="211">
        <f t="shared" si="0"/>
        <v>0</v>
      </c>
      <c r="AK5" s="211">
        <f t="shared" si="0"/>
        <v>0</v>
      </c>
      <c r="AL5" s="223">
        <f t="shared" si="0"/>
        <v>0</v>
      </c>
      <c r="AM5"/>
      <c r="AN5"/>
    </row>
    <row r="6" spans="1:40" ht="12.4" customHeight="1" x14ac:dyDescent="0.2">
      <c r="A6" s="53" t="e">
        <f>IF(PS_Nonprofit,"Gross Surplus %","Gross Margin %")</f>
        <v>#REF!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644">
        <f>IF(O3&lt;&gt;0,O5/O3,0)</f>
        <v>0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644" t="e">
        <f t="shared" ref="AD6:AL6" si="1">IF(AD3&lt;&gt;0,AD5/AD3,0)</f>
        <v>#REF!</v>
      </c>
      <c r="AE6" s="644">
        <f t="shared" si="1"/>
        <v>0.92742709486895536</v>
      </c>
      <c r="AF6" s="644">
        <f t="shared" si="1"/>
        <v>0.92781228433402352</v>
      </c>
      <c r="AG6" s="644">
        <f t="shared" si="1"/>
        <v>0.92390298529455106</v>
      </c>
      <c r="AH6" s="644">
        <f t="shared" si="1"/>
        <v>0</v>
      </c>
      <c r="AI6" s="644">
        <f t="shared" si="1"/>
        <v>0</v>
      </c>
      <c r="AJ6" s="644">
        <f t="shared" si="1"/>
        <v>0</v>
      </c>
      <c r="AK6" s="644">
        <f t="shared" si="1"/>
        <v>0</v>
      </c>
      <c r="AL6" s="636">
        <f t="shared" si="1"/>
        <v>0</v>
      </c>
      <c r="AM6"/>
      <c r="AN6"/>
    </row>
    <row r="7" spans="1:40" ht="12.4" customHeight="1" x14ac:dyDescent="0.2">
      <c r="A7" s="53" t="s">
        <v>232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11" t="e">
        <f>total_operating_expenses</f>
        <v>#REF!</v>
      </c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 t="e">
        <f>IF(PS_AnnualDetail,'P&amp;L'!#REF!,'P&amp;L'!#REF!)</f>
        <v>#REF!</v>
      </c>
      <c r="AE7" s="211" t="e">
        <f>total_operating_expenses</f>
        <v>#REF!</v>
      </c>
      <c r="AF7" s="44" t="e">
        <f>total_operating_expenses</f>
        <v>#REF!</v>
      </c>
      <c r="AG7" s="44" t="e">
        <f>total_operating_expenses</f>
        <v>#REF!</v>
      </c>
      <c r="AH7" s="482">
        <v>0</v>
      </c>
      <c r="AI7" s="482">
        <v>0</v>
      </c>
      <c r="AJ7" s="482">
        <v>0</v>
      </c>
      <c r="AK7" s="482">
        <v>0</v>
      </c>
      <c r="AL7" s="484">
        <v>0</v>
      </c>
      <c r="AM7"/>
      <c r="AN7"/>
    </row>
    <row r="8" spans="1:40" ht="12.4" customHeight="1" x14ac:dyDescent="0.2">
      <c r="A8" s="53" t="s">
        <v>52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11" t="e">
        <f>O5-O7</f>
        <v>#REF!</v>
      </c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 t="e">
        <f t="shared" ref="AD8:AL8" si="2">AD5-AD7</f>
        <v>#REF!</v>
      </c>
      <c r="AE8" s="211" t="e">
        <f t="shared" si="2"/>
        <v>#REF!</v>
      </c>
      <c r="AF8" s="211" t="e">
        <f t="shared" si="2"/>
        <v>#REF!</v>
      </c>
      <c r="AG8" s="211" t="e">
        <f t="shared" si="2"/>
        <v>#REF!</v>
      </c>
      <c r="AH8" s="211">
        <f t="shared" si="2"/>
        <v>0</v>
      </c>
      <c r="AI8" s="211">
        <f t="shared" si="2"/>
        <v>0</v>
      </c>
      <c r="AJ8" s="211">
        <f t="shared" si="2"/>
        <v>0</v>
      </c>
      <c r="AK8" s="211">
        <f t="shared" si="2"/>
        <v>0</v>
      </c>
      <c r="AL8" s="223">
        <f t="shared" si="2"/>
        <v>0</v>
      </c>
      <c r="AM8"/>
      <c r="AN8"/>
    </row>
    <row r="9" spans="1:40" ht="12.4" customHeight="1" x14ac:dyDescent="0.2">
      <c r="A9" s="53" t="s">
        <v>78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11">
        <f>net_profit</f>
        <v>-53519.166666666664</v>
      </c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 t="e">
        <f>IF(PS_AnnualDetail,'P&amp;L'!AG49,'P&amp;L'!#REF!)</f>
        <v>#REF!</v>
      </c>
      <c r="AE9" s="211">
        <f>net_profit</f>
        <v>628876.02916666679</v>
      </c>
      <c r="AF9" s="44">
        <f>net_profit</f>
        <v>688594.77916666679</v>
      </c>
      <c r="AG9" s="44">
        <f>net_profit</f>
        <v>4140238.5166666675</v>
      </c>
      <c r="AH9" s="482">
        <v>0</v>
      </c>
      <c r="AI9" s="482">
        <v>0</v>
      </c>
      <c r="AJ9" s="482">
        <v>0</v>
      </c>
      <c r="AK9" s="482">
        <v>0</v>
      </c>
      <c r="AL9" s="484">
        <v>0</v>
      </c>
      <c r="AM9"/>
      <c r="AN9"/>
    </row>
    <row r="10" spans="1:40" ht="12.4" customHeight="1" x14ac:dyDescent="0.2">
      <c r="A10" s="53" t="s">
        <v>113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1">
        <f>total_current_assets</f>
        <v>1048382.1666666666</v>
      </c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 t="e">
        <f>IF(PS_AnnualDetail,Balance!AG9,Balance!#REF!)</f>
        <v>#REF!</v>
      </c>
      <c r="AE10" s="211">
        <f>total_current_assets</f>
        <v>4599881.2375000007</v>
      </c>
      <c r="AF10" s="44">
        <f>total_current_assets</f>
        <v>4974762.3638888896</v>
      </c>
      <c r="AG10" s="44">
        <f>total_current_assets</f>
        <v>4974762.3638888896</v>
      </c>
      <c r="AH10" s="482">
        <v>0</v>
      </c>
      <c r="AI10" s="482">
        <v>0</v>
      </c>
      <c r="AJ10" s="482">
        <v>0</v>
      </c>
      <c r="AK10" s="482">
        <v>0</v>
      </c>
      <c r="AL10" s="484">
        <v>0</v>
      </c>
      <c r="AM10"/>
      <c r="AN10"/>
    </row>
    <row r="11" spans="1:40" ht="12.4" customHeight="1" x14ac:dyDescent="0.2">
      <c r="A11" s="53" t="s">
        <v>68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1">
        <f>total_long_term_assets</f>
        <v>0</v>
      </c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 t="e">
        <f>IF(PS_AnnualDetail,Balance!AG13,Balance!#REF!)</f>
        <v>#REF!</v>
      </c>
      <c r="AE11" s="211">
        <f>total_long_term_assets</f>
        <v>0</v>
      </c>
      <c r="AF11" s="44">
        <f>total_long_term_assets</f>
        <v>0</v>
      </c>
      <c r="AG11" s="44">
        <f>total_long_term_assets</f>
        <v>0</v>
      </c>
      <c r="AH11" s="482">
        <v>0</v>
      </c>
      <c r="AI11" s="482">
        <v>0</v>
      </c>
      <c r="AJ11" s="482">
        <v>0</v>
      </c>
      <c r="AK11" s="482">
        <v>0</v>
      </c>
      <c r="AL11" s="484">
        <v>0</v>
      </c>
      <c r="AM11"/>
      <c r="AN11"/>
    </row>
    <row r="12" spans="1:40" ht="12.4" customHeight="1" x14ac:dyDescent="0.2">
      <c r="A12" s="53" t="s">
        <v>238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11">
        <f>subtotal_current_liabilities</f>
        <v>11541.666666666666</v>
      </c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 t="e">
        <f>IF(PS_AnnualDetail,Balance!AG21,Balance!#REF!)</f>
        <v>#REF!</v>
      </c>
      <c r="AE12" s="211">
        <f>subtotal_current_liabilities</f>
        <v>343029.66666666663</v>
      </c>
      <c r="AF12" s="44">
        <f>subtotal_current_liabilities</f>
        <v>29132.680555555551</v>
      </c>
      <c r="AG12" s="44">
        <f>subtotal_current_liabilities</f>
        <v>29132.680555555551</v>
      </c>
      <c r="AH12" s="482">
        <v>0</v>
      </c>
      <c r="AI12" s="482">
        <v>0</v>
      </c>
      <c r="AJ12" s="482">
        <v>0</v>
      </c>
      <c r="AK12" s="482">
        <v>0</v>
      </c>
      <c r="AL12" s="484">
        <v>0</v>
      </c>
      <c r="AM12"/>
      <c r="AN12"/>
    </row>
    <row r="13" spans="1:40" ht="12.4" customHeight="1" x14ac:dyDescent="0.2">
      <c r="A13" s="53" t="s">
        <v>206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11">
        <f>long_term_liabilities</f>
        <v>0</v>
      </c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 t="e">
        <f>IF(PS_AnnualDetail,Balance!AG23,Balance!#REF!)</f>
        <v>#REF!</v>
      </c>
      <c r="AE13" s="211">
        <f>long_term_liabilities</f>
        <v>0</v>
      </c>
      <c r="AF13" s="44">
        <f>long_term_liabilities</f>
        <v>0</v>
      </c>
      <c r="AG13" s="44">
        <f>long_term_liabilities</f>
        <v>0</v>
      </c>
      <c r="AH13" s="482">
        <v>0</v>
      </c>
      <c r="AI13" s="482">
        <v>0</v>
      </c>
      <c r="AJ13" s="482">
        <v>0</v>
      </c>
      <c r="AK13" s="482">
        <v>0</v>
      </c>
      <c r="AL13" s="484">
        <v>0</v>
      </c>
      <c r="AM13"/>
      <c r="AN13"/>
    </row>
    <row r="14" spans="1:40" ht="12.4" customHeight="1" x14ac:dyDescent="0.2">
      <c r="A14" s="315" t="s">
        <v>35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20">
        <f>(O10+O11)-(O12+O13)</f>
        <v>1036840.5</v>
      </c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 t="e">
        <f>(AD10+AD11)-(AD12+AD13)</f>
        <v>#REF!</v>
      </c>
      <c r="AE14" s="320">
        <f>(AE10+AE11)-(AE12+AE13)</f>
        <v>4256851.5708333338</v>
      </c>
      <c r="AF14" s="320">
        <f>(AF10+AF11)-(AF12+AF13)</f>
        <v>4945629.6833333336</v>
      </c>
      <c r="AG14" s="320">
        <f>(AG10+AG11)-(AG12+AG13)</f>
        <v>4945629.6833333336</v>
      </c>
      <c r="AH14" s="568">
        <v>0</v>
      </c>
      <c r="AI14" s="568">
        <v>0</v>
      </c>
      <c r="AJ14" s="568">
        <v>0</v>
      </c>
      <c r="AK14" s="568">
        <v>0</v>
      </c>
      <c r="AL14" s="569">
        <v>0</v>
      </c>
      <c r="AM14"/>
      <c r="AN14"/>
    </row>
    <row r="15" spans="1:40" ht="12.4" customHeight="1" x14ac:dyDescent="0.2">
      <c r="A15"/>
      <c r="AM15"/>
      <c r="AN15"/>
    </row>
    <row r="17" spans="1:43" ht="12.4" customHeight="1" x14ac:dyDescent="0.2">
      <c r="AL17" s="22"/>
      <c r="AM17" s="1"/>
      <c r="AN17" s="1"/>
      <c r="AO17" s="1"/>
      <c r="AP17" s="22"/>
      <c r="AQ17" s="22"/>
    </row>
    <row r="18" spans="1:43" ht="12.4" customHeight="1" x14ac:dyDescent="0.2">
      <c r="A18"/>
    </row>
    <row r="19" spans="1:43" ht="12.4" customHeight="1" x14ac:dyDescent="0.2">
      <c r="A19"/>
    </row>
    <row r="20" spans="1:43" ht="12.4" customHeight="1" x14ac:dyDescent="0.2">
      <c r="A20"/>
    </row>
    <row r="26" spans="1:43" ht="12.4" customHeight="1" x14ac:dyDescent="0.2">
      <c r="AH26"/>
      <c r="AI26"/>
      <c r="AJ26"/>
      <c r="AK26"/>
    </row>
    <row r="27" spans="1:43" ht="12.4" customHeight="1" x14ac:dyDescent="0.2">
      <c r="AH27"/>
      <c r="AI27"/>
      <c r="AJ27"/>
      <c r="AK27"/>
    </row>
    <row r="28" spans="1:43" ht="12.4" customHeight="1" x14ac:dyDescent="0.2">
      <c r="AH28"/>
      <c r="AI28"/>
      <c r="AJ28"/>
      <c r="AK28"/>
    </row>
    <row r="29" spans="1:43" ht="12.4" customHeight="1" x14ac:dyDescent="0.2">
      <c r="AH29"/>
      <c r="AI29"/>
      <c r="AJ29"/>
      <c r="AK29"/>
    </row>
    <row r="30" spans="1:43" ht="12.4" customHeight="1" x14ac:dyDescent="0.2">
      <c r="AH30"/>
      <c r="AI30"/>
      <c r="AJ30"/>
      <c r="AK30"/>
    </row>
    <row r="31" spans="1:43" ht="12.4" customHeight="1" x14ac:dyDescent="0.2">
      <c r="AH31"/>
      <c r="AI31"/>
      <c r="AJ31"/>
      <c r="AK31"/>
    </row>
    <row r="32" spans="1:43" ht="12.4" customHeight="1" x14ac:dyDescent="0.2">
      <c r="AH32"/>
      <c r="AI32"/>
      <c r="AJ32"/>
      <c r="AK32"/>
    </row>
    <row r="33" spans="34:37" ht="12.4" customHeight="1" x14ac:dyDescent="0.2">
      <c r="AH33"/>
      <c r="AI33"/>
      <c r="AJ33"/>
      <c r="AK33"/>
    </row>
    <row r="34" spans="34:37" ht="12.4" customHeight="1" x14ac:dyDescent="0.2">
      <c r="AH34"/>
      <c r="AI34"/>
      <c r="AJ34"/>
      <c r="AK34"/>
    </row>
    <row r="35" spans="34:37" ht="12.4" customHeight="1" x14ac:dyDescent="0.2">
      <c r="AH35"/>
      <c r="AI35"/>
      <c r="AJ35"/>
      <c r="AK35"/>
    </row>
    <row r="36" spans="34:37" ht="12.4" customHeight="1" x14ac:dyDescent="0.2">
      <c r="AH36"/>
      <c r="AI36"/>
      <c r="AJ36"/>
      <c r="AK36"/>
    </row>
    <row r="37" spans="34:37" ht="12.4" customHeight="1" x14ac:dyDescent="0.2">
      <c r="AH37"/>
    </row>
  </sheetData>
  <pageMargins left="0.75" right="0.75" top="1" bottom="1" header="0.5" footer="0.5"/>
  <pageSetup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.125" defaultRowHeight="12.4" customHeight="1" x14ac:dyDescent="0.2"/>
  <cols>
    <col min="1" max="1" width="32.375" customWidth="1"/>
    <col min="2" max="2" width="10.25" customWidth="1"/>
  </cols>
  <sheetData>
    <row r="1" spans="1:4" ht="16.149999999999999" customHeight="1" x14ac:dyDescent="0.2">
      <c r="A1" s="2" t="s">
        <v>29</v>
      </c>
      <c r="B1" s="7"/>
      <c r="C1" s="392"/>
      <c r="D1" s="392"/>
    </row>
    <row r="2" spans="1:4" ht="12.4" customHeight="1" x14ac:dyDescent="0.2">
      <c r="A2" s="379"/>
      <c r="B2" s="393"/>
      <c r="C2" s="394"/>
      <c r="D2" s="394"/>
    </row>
    <row r="3" spans="1:4" ht="16.149999999999999" customHeight="1" x14ac:dyDescent="0.2">
      <c r="A3" s="25" t="s">
        <v>186</v>
      </c>
      <c r="B3" s="395" t="s">
        <v>18</v>
      </c>
      <c r="C3" s="32"/>
      <c r="D3" s="32"/>
    </row>
    <row r="4" spans="1:4" ht="12.4" customHeight="1" x14ac:dyDescent="0.2">
      <c r="A4" s="497" t="s">
        <v>43</v>
      </c>
      <c r="B4" s="570">
        <v>0</v>
      </c>
    </row>
    <row r="5" spans="1:4" ht="12.4" customHeight="1" x14ac:dyDescent="0.2">
      <c r="A5" s="492" t="s">
        <v>43</v>
      </c>
      <c r="B5" s="555">
        <v>0</v>
      </c>
    </row>
    <row r="6" spans="1:4" ht="12.4" customHeight="1" x14ac:dyDescent="0.2">
      <c r="A6" s="492" t="s">
        <v>43</v>
      </c>
      <c r="B6" s="555">
        <v>0</v>
      </c>
    </row>
    <row r="7" spans="1:4" ht="12.4" customHeight="1" x14ac:dyDescent="0.2">
      <c r="A7" s="499" t="s">
        <v>43</v>
      </c>
      <c r="B7" s="571">
        <v>0</v>
      </c>
    </row>
    <row r="8" spans="1:4" ht="16.149999999999999" customHeight="1" x14ac:dyDescent="0.2">
      <c r="A8" s="48" t="s">
        <v>83</v>
      </c>
      <c r="B8" s="396">
        <f>SUM(B4:B7)</f>
        <v>0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O41" sqref="O41"/>
    </sheetView>
  </sheetViews>
  <sheetFormatPr defaultColWidth="9.125" defaultRowHeight="12.4" customHeight="1" x14ac:dyDescent="0.2"/>
  <cols>
    <col min="1" max="1" width="19.75" style="1" customWidth="1"/>
    <col min="2" max="10" width="9.125" style="1" customWidth="1"/>
    <col min="11" max="11" width="21.75" style="1" customWidth="1"/>
    <col min="12" max="13" width="9.25" style="1" customWidth="1"/>
    <col min="14" max="14" width="24.75" style="1" customWidth="1"/>
    <col min="15" max="19" width="9.25" style="1" customWidth="1"/>
    <col min="20" max="16384" width="9.125" style="1"/>
  </cols>
  <sheetData>
    <row r="1" spans="1:20" ht="12.4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20" ht="12.4" customHeight="1" x14ac:dyDescent="0.2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20" ht="12.4" customHeight="1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20" ht="12.4" customHeight="1" x14ac:dyDescent="0.2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0" ht="12.4" customHeight="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0" ht="12.4" customHeight="1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 ht="12.4" customHeight="1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ht="12.4" customHeight="1" x14ac:dyDescent="0.2">
      <c r="N8"/>
      <c r="O8"/>
      <c r="P8"/>
      <c r="Q8"/>
      <c r="R8"/>
      <c r="S8"/>
      <c r="T8"/>
    </row>
    <row r="9" spans="1:20" ht="12.4" customHeight="1" x14ac:dyDescent="0.2">
      <c r="N9"/>
      <c r="O9"/>
      <c r="P9"/>
      <c r="Q9"/>
      <c r="R9"/>
      <c r="S9"/>
    </row>
    <row r="10" spans="1:20" ht="12.4" customHeight="1" x14ac:dyDescent="0.2">
      <c r="N10"/>
      <c r="O10"/>
      <c r="P10"/>
      <c r="Q10"/>
      <c r="R10"/>
      <c r="S10"/>
    </row>
    <row r="11" spans="1:20" ht="12.4" customHeight="1" x14ac:dyDescent="0.2">
      <c r="N11"/>
      <c r="O11"/>
      <c r="P11"/>
      <c r="Q11"/>
      <c r="R11"/>
      <c r="S11"/>
    </row>
    <row r="12" spans="1:20" ht="12.4" customHeight="1" x14ac:dyDescent="0.2">
      <c r="N12"/>
      <c r="O12"/>
      <c r="P12"/>
      <c r="Q12"/>
      <c r="R12"/>
      <c r="S12"/>
    </row>
    <row r="13" spans="1:20" ht="12.4" customHeight="1" x14ac:dyDescent="0.2">
      <c r="N13"/>
      <c r="O13"/>
      <c r="P13"/>
      <c r="Q13"/>
      <c r="R13"/>
      <c r="S13"/>
      <c r="T13"/>
    </row>
    <row r="14" spans="1:20" ht="12.4" customHeight="1" x14ac:dyDescent="0.2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2.4" customHeight="1" x14ac:dyDescent="0.2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0" ht="12.4" customHeigh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2:20" ht="12.4" customHeight="1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2:20" ht="12.4" customHeight="1" x14ac:dyDescent="0.2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 ht="12.4" customHeight="1" x14ac:dyDescent="0.2">
      <c r="N19"/>
      <c r="O19"/>
      <c r="P19"/>
      <c r="Q19"/>
      <c r="R19"/>
      <c r="S19"/>
      <c r="T19"/>
    </row>
    <row r="20" spans="2:20" ht="12.4" customHeight="1" x14ac:dyDescent="0.2">
      <c r="N20"/>
      <c r="O20"/>
      <c r="P20"/>
      <c r="Q20"/>
      <c r="R20"/>
      <c r="S20"/>
    </row>
    <row r="21" spans="2:20" ht="12.4" customHeight="1" x14ac:dyDescent="0.2">
      <c r="N21"/>
      <c r="O21"/>
      <c r="P21"/>
      <c r="Q21"/>
      <c r="R21"/>
      <c r="S21"/>
    </row>
    <row r="22" spans="2:20" ht="12.4" customHeight="1" x14ac:dyDescent="0.2">
      <c r="N22"/>
      <c r="O22"/>
      <c r="P22"/>
      <c r="Q22"/>
      <c r="R22"/>
      <c r="S22"/>
    </row>
    <row r="23" spans="2:20" ht="12.4" customHeight="1" x14ac:dyDescent="0.2">
      <c r="N23"/>
      <c r="O23"/>
      <c r="P23"/>
      <c r="Q23"/>
      <c r="R23"/>
      <c r="S23"/>
      <c r="T23"/>
    </row>
    <row r="24" spans="2:20" ht="12.4" customHeight="1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2:20" ht="12.4" customHeight="1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20" ht="12.4" customHeight="1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0" ht="12.4" customHeight="1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2:20" ht="12.4" customHeight="1" x14ac:dyDescent="0.2">
      <c r="N28"/>
      <c r="O28"/>
      <c r="P28"/>
      <c r="Q28"/>
      <c r="R28"/>
      <c r="S28"/>
      <c r="T28"/>
    </row>
    <row r="29" spans="2:20" ht="12.4" customHeight="1" x14ac:dyDescent="0.2">
      <c r="N29"/>
      <c r="O29"/>
      <c r="P29"/>
      <c r="Q29"/>
      <c r="R29"/>
      <c r="S29"/>
    </row>
    <row r="30" spans="2:20" ht="12.4" customHeight="1" x14ac:dyDescent="0.2">
      <c r="N30"/>
      <c r="O30"/>
      <c r="P30"/>
      <c r="Q30"/>
      <c r="R30"/>
      <c r="S30"/>
    </row>
    <row r="31" spans="2:20" ht="12.4" customHeight="1" x14ac:dyDescent="0.2">
      <c r="N31"/>
      <c r="O31"/>
      <c r="P31"/>
      <c r="Q31"/>
      <c r="R31"/>
      <c r="S31"/>
      <c r="T31"/>
    </row>
    <row r="32" spans="2:20" ht="12.4" customHeight="1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2:20" ht="12.4" customHeigh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2:20" ht="12.4" customHeight="1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2:20" ht="12.4" customHeigh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2:20" ht="12.4" customHeight="1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20" ht="12.4" customHeight="1" x14ac:dyDescent="0.2">
      <c r="N37"/>
      <c r="O37"/>
      <c r="P37"/>
      <c r="Q37"/>
      <c r="R37"/>
      <c r="S37"/>
      <c r="T37"/>
    </row>
    <row r="38" spans="2:20" ht="12.4" customHeight="1" x14ac:dyDescent="0.2">
      <c r="N38"/>
      <c r="O38"/>
      <c r="P38"/>
      <c r="Q38"/>
      <c r="R38"/>
      <c r="S38"/>
    </row>
    <row r="39" spans="2:20" ht="12.4" customHeight="1" x14ac:dyDescent="0.2">
      <c r="N39"/>
      <c r="O39"/>
      <c r="P39"/>
      <c r="Q39"/>
      <c r="R39"/>
      <c r="S39"/>
    </row>
    <row r="40" spans="2:20" ht="12.4" customHeight="1" x14ac:dyDescent="0.2">
      <c r="N40"/>
      <c r="O40"/>
      <c r="P40"/>
      <c r="Q40"/>
      <c r="R40"/>
      <c r="S40"/>
    </row>
    <row r="41" spans="2:20" ht="12.4" customHeight="1" x14ac:dyDescent="0.2">
      <c r="N41"/>
      <c r="O41"/>
      <c r="P41"/>
      <c r="Q41"/>
      <c r="R41"/>
      <c r="S41"/>
      <c r="T41"/>
    </row>
    <row r="42" spans="2:20" ht="12.4" customHeight="1" x14ac:dyDescent="0.2">
      <c r="T42"/>
    </row>
  </sheetData>
  <pageMargins left="0.75" right="0.75" top="1" bottom="1" header="0.5" footer="0.5"/>
  <pageSetup orientation="portrait" horizontalDpi="200" verticalDpi="2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/>
  </sheetViews>
  <sheetFormatPr defaultColWidth="9.125" defaultRowHeight="12.4" customHeight="1" x14ac:dyDescent="0.2"/>
  <cols>
    <col min="1" max="1" width="33" style="1" customWidth="1"/>
    <col min="2" max="2" width="26.5" style="1" customWidth="1"/>
    <col min="3" max="3" width="13.625" style="1" customWidth="1"/>
    <col min="4" max="19" width="9.125" style="1" customWidth="1"/>
    <col min="20" max="20" width="14.875" style="1" customWidth="1"/>
    <col min="21" max="25" width="9.125" style="1" customWidth="1"/>
    <col min="26" max="26" width="19.625" style="1" customWidth="1"/>
    <col min="27" max="16384" width="9.125" style="1"/>
  </cols>
  <sheetData>
    <row r="1" spans="1:26" ht="16.149999999999999" customHeight="1" x14ac:dyDescent="0.2">
      <c r="A1" s="2" t="s">
        <v>41</v>
      </c>
      <c r="B1" s="3"/>
      <c r="C1" s="7"/>
      <c r="Y1"/>
    </row>
    <row r="2" spans="1:26" ht="12.4" customHeight="1" x14ac:dyDescent="0.2">
      <c r="A2" s="379"/>
      <c r="B2" s="380"/>
      <c r="C2" s="398"/>
      <c r="T2"/>
      <c r="Y2"/>
      <c r="Z2"/>
    </row>
    <row r="3" spans="1:26" ht="16.149999999999999" customHeight="1" x14ac:dyDescent="0.2">
      <c r="A3" s="25" t="s">
        <v>150</v>
      </c>
      <c r="B3" s="399"/>
      <c r="C3" s="400"/>
      <c r="T3"/>
      <c r="Y3"/>
      <c r="Z3"/>
    </row>
    <row r="4" spans="1:26" ht="12.4" customHeight="1" x14ac:dyDescent="0.2">
      <c r="A4" s="221"/>
      <c r="B4" s="18"/>
      <c r="C4" s="241"/>
      <c r="T4"/>
      <c r="Y4"/>
      <c r="Z4"/>
    </row>
    <row r="5" spans="1:26" ht="12.4" customHeight="1" x14ac:dyDescent="0.2">
      <c r="A5" s="39" t="s">
        <v>113</v>
      </c>
      <c r="B5" s="401" t="s">
        <v>187</v>
      </c>
      <c r="C5" s="402" t="s">
        <v>212</v>
      </c>
      <c r="T5"/>
      <c r="Y5"/>
      <c r="Z5"/>
    </row>
    <row r="6" spans="1:26" ht="12.4" customHeight="1" x14ac:dyDescent="0.2">
      <c r="A6" s="497" t="s">
        <v>235</v>
      </c>
      <c r="B6" s="572"/>
      <c r="C6" s="481">
        <v>0</v>
      </c>
      <c r="T6"/>
      <c r="Y6"/>
      <c r="Z6"/>
    </row>
    <row r="7" spans="1:26" ht="12.4" customHeight="1" x14ac:dyDescent="0.2">
      <c r="A7" s="492" t="s">
        <v>233</v>
      </c>
      <c r="B7" s="573"/>
      <c r="C7" s="484">
        <v>0</v>
      </c>
      <c r="T7"/>
      <c r="Y7"/>
      <c r="Z7"/>
    </row>
    <row r="8" spans="1:26" ht="12.4" customHeight="1" x14ac:dyDescent="0.2">
      <c r="A8" s="492" t="s">
        <v>94</v>
      </c>
      <c r="B8" s="573"/>
      <c r="C8" s="484">
        <v>0</v>
      </c>
      <c r="T8"/>
      <c r="Y8"/>
      <c r="Z8"/>
    </row>
    <row r="9" spans="1:26" ht="12.4" customHeight="1" x14ac:dyDescent="0.2">
      <c r="A9" s="492" t="s">
        <v>155</v>
      </c>
      <c r="B9" s="573"/>
      <c r="C9" s="484">
        <v>0</v>
      </c>
      <c r="T9"/>
      <c r="Y9"/>
      <c r="Z9"/>
    </row>
    <row r="10" spans="1:26" ht="12.4" customHeight="1" x14ac:dyDescent="0.2">
      <c r="A10" s="492" t="s">
        <v>15</v>
      </c>
      <c r="B10" s="573"/>
      <c r="C10" s="484">
        <v>0</v>
      </c>
      <c r="T10"/>
      <c r="Y10"/>
      <c r="Z10"/>
    </row>
    <row r="11" spans="1:26" ht="12.4" customHeight="1" x14ac:dyDescent="0.2">
      <c r="A11" s="492" t="s">
        <v>15</v>
      </c>
      <c r="B11" s="573"/>
      <c r="C11" s="484">
        <v>0</v>
      </c>
      <c r="T11"/>
      <c r="Y11"/>
      <c r="Z11"/>
    </row>
    <row r="12" spans="1:26" ht="12.4" customHeight="1" x14ac:dyDescent="0.2">
      <c r="A12" s="499" t="s">
        <v>8</v>
      </c>
      <c r="B12" s="574"/>
      <c r="C12" s="489">
        <v>0</v>
      </c>
      <c r="T12"/>
      <c r="Y12"/>
      <c r="Z12"/>
    </row>
    <row r="13" spans="1:26" ht="12.4" customHeight="1" x14ac:dyDescent="0.2">
      <c r="A13" s="33" t="s">
        <v>119</v>
      </c>
      <c r="B13" s="403"/>
      <c r="C13" s="459">
        <f>SUM(C6:C12)</f>
        <v>0</v>
      </c>
      <c r="T13"/>
      <c r="Y13"/>
      <c r="Z13"/>
    </row>
    <row r="14" spans="1:26" ht="12.4" customHeight="1" x14ac:dyDescent="0.2">
      <c r="A14" s="47"/>
      <c r="B14" s="405"/>
      <c r="C14" s="242"/>
      <c r="T14"/>
      <c r="Y14"/>
      <c r="Z14"/>
    </row>
    <row r="15" spans="1:26" ht="12.4" customHeight="1" x14ac:dyDescent="0.2">
      <c r="A15" s="39" t="s">
        <v>68</v>
      </c>
      <c r="B15" s="401"/>
      <c r="C15" s="406"/>
      <c r="T15"/>
      <c r="Y15"/>
      <c r="Z15"/>
    </row>
    <row r="16" spans="1:26" ht="12.4" customHeight="1" x14ac:dyDescent="0.2">
      <c r="A16" s="497" t="s">
        <v>60</v>
      </c>
      <c r="B16" s="572"/>
      <c r="C16" s="481">
        <v>0</v>
      </c>
      <c r="T16"/>
      <c r="Y16"/>
      <c r="Z16"/>
    </row>
    <row r="17" spans="1:26" ht="12.4" customHeight="1" x14ac:dyDescent="0.2">
      <c r="A17" s="492" t="s">
        <v>90</v>
      </c>
      <c r="B17" s="573"/>
      <c r="C17" s="484">
        <v>0</v>
      </c>
      <c r="T17"/>
      <c r="Y17"/>
      <c r="Z17"/>
    </row>
    <row r="18" spans="1:26" ht="12.4" customHeight="1" x14ac:dyDescent="0.2">
      <c r="A18" s="492" t="s">
        <v>98</v>
      </c>
      <c r="B18" s="573"/>
      <c r="C18" s="484">
        <v>0</v>
      </c>
      <c r="T18"/>
      <c r="Y18"/>
      <c r="Z18"/>
    </row>
    <row r="19" spans="1:26" ht="12.4" customHeight="1" x14ac:dyDescent="0.2">
      <c r="A19" s="499" t="s">
        <v>8</v>
      </c>
      <c r="B19" s="574"/>
      <c r="C19" s="489">
        <v>0</v>
      </c>
      <c r="T19"/>
      <c r="Y19"/>
      <c r="Z19"/>
    </row>
    <row r="20" spans="1:26" ht="12.4" customHeight="1" x14ac:dyDescent="0.2">
      <c r="A20" s="407" t="s">
        <v>202</v>
      </c>
      <c r="B20" s="408"/>
      <c r="C20" s="458">
        <f>SUM(C16:C19)</f>
        <v>0</v>
      </c>
      <c r="T20"/>
      <c r="Y20"/>
      <c r="Z20"/>
    </row>
    <row r="21" spans="1:26" ht="12.4" customHeight="1" x14ac:dyDescent="0.2">
      <c r="A21" s="33"/>
      <c r="B21" s="403"/>
      <c r="C21" s="404"/>
      <c r="T21"/>
      <c r="Y21"/>
      <c r="Z21"/>
    </row>
    <row r="22" spans="1:26" ht="12.4" customHeight="1" x14ac:dyDescent="0.2">
      <c r="A22" s="161" t="s">
        <v>102</v>
      </c>
      <c r="B22" s="403"/>
      <c r="C22" s="267">
        <f>C20+C13</f>
        <v>0</v>
      </c>
      <c r="T22"/>
      <c r="Y22"/>
      <c r="Z22"/>
    </row>
    <row r="23" spans="1:26" ht="12.4" customHeight="1" x14ac:dyDescent="0.2">
      <c r="A23" s="47"/>
      <c r="B23" s="36"/>
      <c r="C23" s="241"/>
      <c r="T23"/>
      <c r="Y23"/>
      <c r="Z23"/>
    </row>
    <row r="24" spans="1:26" ht="16.149999999999999" customHeight="1" x14ac:dyDescent="0.2">
      <c r="A24" s="25" t="s">
        <v>55</v>
      </c>
      <c r="B24" s="26"/>
      <c r="C24" s="59"/>
      <c r="T24"/>
      <c r="Y24"/>
      <c r="Z24"/>
    </row>
    <row r="25" spans="1:26" ht="12.4" customHeight="1" x14ac:dyDescent="0.2">
      <c r="A25" s="221"/>
      <c r="B25" s="36"/>
      <c r="C25" s="241"/>
      <c r="T25"/>
      <c r="Y25"/>
      <c r="Z25"/>
    </row>
    <row r="26" spans="1:26" ht="12.4" customHeight="1" x14ac:dyDescent="0.2">
      <c r="A26" s="39" t="s">
        <v>193</v>
      </c>
      <c r="B26" s="401"/>
      <c r="C26" s="402" t="s">
        <v>212</v>
      </c>
      <c r="T26"/>
      <c r="Y26"/>
      <c r="Z26"/>
    </row>
    <row r="27" spans="1:26" ht="12.4" customHeight="1" x14ac:dyDescent="0.2">
      <c r="A27" s="497" t="s">
        <v>76</v>
      </c>
      <c r="B27" s="572"/>
      <c r="C27" s="481">
        <v>0</v>
      </c>
      <c r="T27"/>
      <c r="Y27"/>
      <c r="Z27"/>
    </row>
    <row r="28" spans="1:26" ht="12.4" customHeight="1" x14ac:dyDescent="0.2">
      <c r="A28" s="492" t="s">
        <v>76</v>
      </c>
      <c r="B28" s="573"/>
      <c r="C28" s="484">
        <v>0</v>
      </c>
      <c r="T28"/>
      <c r="Y28"/>
      <c r="Z28"/>
    </row>
    <row r="29" spans="1:26" ht="12.4" customHeight="1" x14ac:dyDescent="0.2">
      <c r="A29" s="492" t="s">
        <v>76</v>
      </c>
      <c r="B29" s="573"/>
      <c r="C29" s="484">
        <v>0</v>
      </c>
      <c r="T29"/>
      <c r="Y29"/>
      <c r="Z29"/>
    </row>
    <row r="30" spans="1:26" ht="12.4" customHeight="1" x14ac:dyDescent="0.2">
      <c r="A30" s="492" t="s">
        <v>146</v>
      </c>
      <c r="B30" s="573"/>
      <c r="C30" s="484">
        <v>0</v>
      </c>
      <c r="T30"/>
      <c r="Y30"/>
      <c r="Z30"/>
    </row>
    <row r="31" spans="1:26" ht="12.4" customHeight="1" x14ac:dyDescent="0.2">
      <c r="A31" s="492" t="s">
        <v>132</v>
      </c>
      <c r="B31" s="573"/>
      <c r="C31" s="484">
        <v>0</v>
      </c>
      <c r="T31"/>
      <c r="Y31"/>
      <c r="Z31"/>
    </row>
    <row r="32" spans="1:26" ht="12.4" customHeight="1" x14ac:dyDescent="0.2">
      <c r="A32" s="492" t="s">
        <v>132</v>
      </c>
      <c r="B32" s="573"/>
      <c r="C32" s="484">
        <v>0</v>
      </c>
      <c r="T32"/>
      <c r="Y32"/>
      <c r="Z32"/>
    </row>
    <row r="33" spans="1:26" ht="12.4" customHeight="1" x14ac:dyDescent="0.2">
      <c r="A33" s="499" t="s">
        <v>8</v>
      </c>
      <c r="B33" s="574"/>
      <c r="C33" s="489">
        <v>0</v>
      </c>
      <c r="T33"/>
      <c r="Y33"/>
      <c r="Z33"/>
    </row>
    <row r="34" spans="1:26" ht="12.4" customHeight="1" x14ac:dyDescent="0.2">
      <c r="A34" s="33" t="s">
        <v>243</v>
      </c>
      <c r="B34" s="403"/>
      <c r="C34" s="457">
        <f>SUM(C27:C33)</f>
        <v>0</v>
      </c>
      <c r="T34"/>
      <c r="Y34"/>
      <c r="Z34"/>
    </row>
    <row r="35" spans="1:26" ht="12.4" customHeight="1" x14ac:dyDescent="0.2">
      <c r="A35" s="47"/>
      <c r="B35" s="36"/>
      <c r="C35" s="57"/>
      <c r="T35"/>
      <c r="Y35"/>
      <c r="Z35"/>
    </row>
    <row r="36" spans="1:26" ht="12.4" customHeight="1" x14ac:dyDescent="0.2">
      <c r="A36" s="39" t="s">
        <v>34</v>
      </c>
      <c r="B36" s="401"/>
      <c r="C36" s="402"/>
      <c r="T36"/>
      <c r="Y36"/>
      <c r="Z36"/>
    </row>
    <row r="37" spans="1:26" ht="12.4" customHeight="1" x14ac:dyDescent="0.2">
      <c r="A37" s="497" t="s">
        <v>167</v>
      </c>
      <c r="B37" s="572"/>
      <c r="C37" s="481">
        <v>0</v>
      </c>
      <c r="T37"/>
      <c r="Y37"/>
      <c r="Z37"/>
    </row>
    <row r="38" spans="1:26" ht="12.4" customHeight="1" x14ac:dyDescent="0.2">
      <c r="A38" s="492" t="s">
        <v>130</v>
      </c>
      <c r="B38" s="573"/>
      <c r="C38" s="484">
        <v>0</v>
      </c>
      <c r="T38"/>
      <c r="Y38"/>
      <c r="Z38"/>
    </row>
    <row r="39" spans="1:26" ht="12.4" customHeight="1" x14ac:dyDescent="0.2">
      <c r="A39" s="499" t="s">
        <v>8</v>
      </c>
      <c r="B39" s="574"/>
      <c r="C39" s="489">
        <v>0</v>
      </c>
      <c r="T39"/>
      <c r="Y39"/>
      <c r="Z39"/>
    </row>
    <row r="40" spans="1:26" ht="12.4" customHeight="1" x14ac:dyDescent="0.2">
      <c r="A40" s="407" t="s">
        <v>96</v>
      </c>
      <c r="B40" s="410"/>
      <c r="C40" s="456">
        <f>SUM(C37:C39)</f>
        <v>0</v>
      </c>
      <c r="T40"/>
      <c r="Y40"/>
      <c r="Z40"/>
    </row>
    <row r="41" spans="1:26" ht="12.4" customHeight="1" x14ac:dyDescent="0.2">
      <c r="A41" s="33"/>
      <c r="B41" s="411"/>
      <c r="C41" s="409"/>
      <c r="T41"/>
      <c r="Y41"/>
      <c r="Z41"/>
    </row>
    <row r="42" spans="1:26" ht="12.4" customHeight="1" x14ac:dyDescent="0.2">
      <c r="A42" s="161" t="s">
        <v>200</v>
      </c>
      <c r="B42" s="403"/>
      <c r="C42" s="267">
        <f>C34+C40</f>
        <v>0</v>
      </c>
      <c r="T42"/>
      <c r="Y42"/>
      <c r="Z42"/>
    </row>
    <row r="43" spans="1:26" s="34" customFormat="1" ht="12.4" customHeight="1" x14ac:dyDescent="0.2">
      <c r="A43" s="221"/>
      <c r="B43" s="405"/>
      <c r="C43" s="240"/>
      <c r="T43"/>
      <c r="X43" s="1"/>
      <c r="Y43"/>
      <c r="Z43"/>
    </row>
    <row r="44" spans="1:26" ht="16.149999999999999" customHeight="1" x14ac:dyDescent="0.2">
      <c r="A44" s="48" t="s">
        <v>185</v>
      </c>
      <c r="B44" s="412"/>
      <c r="C44" s="270">
        <f>C22-C42</f>
        <v>0</v>
      </c>
      <c r="T44"/>
      <c r="Y44"/>
      <c r="Z44"/>
    </row>
    <row r="45" spans="1:26" ht="12.4" customHeight="1" x14ac:dyDescent="0.2">
      <c r="A45"/>
      <c r="B45" s="413"/>
      <c r="C45" s="413"/>
      <c r="T45"/>
      <c r="Y45"/>
      <c r="Z45"/>
    </row>
    <row r="46" spans="1:26" ht="12.4" customHeight="1" x14ac:dyDescent="0.2">
      <c r="C46" s="49"/>
      <c r="P46" s="22"/>
      <c r="U46" s="22"/>
    </row>
    <row r="47" spans="1:26" ht="12.4" customHeight="1" x14ac:dyDescent="0.2">
      <c r="A47"/>
    </row>
    <row r="48" spans="1:26" ht="12.4" customHeight="1" x14ac:dyDescent="0.2">
      <c r="A48"/>
    </row>
    <row r="49" spans="1:1" ht="12.4" customHeight="1" x14ac:dyDescent="0.2">
      <c r="A49"/>
    </row>
    <row r="50" spans="1:1" ht="12.4" customHeight="1" x14ac:dyDescent="0.2">
      <c r="A50"/>
    </row>
    <row r="51" spans="1:1" ht="12.4" customHeight="1" x14ac:dyDescent="0.2">
      <c r="A51"/>
    </row>
    <row r="52" spans="1:1" ht="12.4" customHeight="1" x14ac:dyDescent="0.2">
      <c r="A52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1"/>
  <sheetViews>
    <sheetView topLeftCell="A8" workbookViewId="0">
      <selection activeCell="A8" sqref="A8:IV8"/>
    </sheetView>
  </sheetViews>
  <sheetFormatPr defaultColWidth="9.125" defaultRowHeight="12.4" customHeight="1" x14ac:dyDescent="0.2"/>
  <cols>
    <col min="1" max="1" width="40.375" style="1" customWidth="1"/>
    <col min="2" max="15" width="13.625" style="1" customWidth="1"/>
    <col min="16" max="28" width="9.125" style="1" customWidth="1"/>
    <col min="29" max="33" width="13.625" style="1" customWidth="1"/>
    <col min="34" max="34" width="15.25" style="1" customWidth="1"/>
    <col min="35" max="37" width="9.125" style="1" customWidth="1"/>
    <col min="38" max="38" width="19" style="1" customWidth="1"/>
    <col min="39" max="39" width="17.125" style="1" customWidth="1"/>
    <col min="40" max="40" width="39.125" style="1" customWidth="1"/>
    <col min="41" max="41" width="15.75" style="1" customWidth="1"/>
    <col min="42" max="42" width="6" style="1" customWidth="1"/>
    <col min="43" max="16384" width="9.125" style="1"/>
  </cols>
  <sheetData>
    <row r="1" spans="1:40" ht="16.149999999999999" customHeight="1" x14ac:dyDescent="0.2">
      <c r="A1" s="322" t="s">
        <v>129</v>
      </c>
      <c r="B1" s="23"/>
      <c r="C1" s="23"/>
      <c r="D1" s="23"/>
      <c r="E1" s="23"/>
      <c r="F1" s="388"/>
      <c r="G1" s="23"/>
      <c r="H1" s="23"/>
      <c r="I1" s="23"/>
      <c r="J1" s="23"/>
      <c r="K1" s="23"/>
      <c r="L1" s="23"/>
      <c r="M1" s="23"/>
      <c r="N1" s="23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5"/>
      <c r="AI1" s="496"/>
      <c r="AM1"/>
      <c r="AN1"/>
    </row>
    <row r="2" spans="1:40" ht="12.4" customHeight="1" x14ac:dyDescent="0.2">
      <c r="A2" s="389"/>
      <c r="B2" s="416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13" t="e">
        <f>IF(PS_DateSetting=1," Year 1",IF(PS_StartingMonth&gt;1,"FY "&amp;PS_StartingYear+1,PS_StartingYear))</f>
        <v>#REF!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 t="e">
        <f>IF(PS_DateSetting=1," Year 2",IF(PS_StartingMonth&gt;1,"FY "&amp;PS_StartingYear+2,PS_StartingYear+1))</f>
        <v>#REF!</v>
      </c>
      <c r="AD2" s="13" t="e">
        <f>IF(PS_DateSetting=1," Year 2",IF(PS_StartingMonth&gt;1,"FY "&amp;PS_StartingYear+2,PS_StartingYear+1))</f>
        <v>#REF!</v>
      </c>
      <c r="AE2" s="13" t="e">
        <f>IF(PS_DateSetting=1," Year 3",IF(PS_StartingMonth&gt;1,"FY "&amp;PS_StartingYear+3,PS_StartingYear+2))</f>
        <v>#REF!</v>
      </c>
      <c r="AF2" s="13" t="e">
        <f>IF(PS_DateSetting=1," Year 4",IF(PS_StartingMonth&gt;1,"FY "&amp;PS_StartingYear+4,PS_StartingYear+3))</f>
        <v>#REF!</v>
      </c>
      <c r="AG2" s="13" t="e">
        <f>IF(PS_DateSetting=1," Year 5",IF(PS_StartingMonth&gt;1,"FY "&amp;PS_StartingYear+5,PS_StartingYear+4))</f>
        <v>#REF!</v>
      </c>
      <c r="AH2" s="415" t="s">
        <v>6</v>
      </c>
      <c r="AM2"/>
      <c r="AN2"/>
    </row>
    <row r="3" spans="1:40" ht="12.4" customHeight="1" x14ac:dyDescent="0.2">
      <c r="A3" s="182" t="e">
        <f>IF(PS_Nonprofit=TRUE,"Funding Growth","Sales Growth")</f>
        <v>#REF!</v>
      </c>
      <c r="B3" s="391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643" t="e">
        <f>IF(AND(PS_Startup=FALSE,past_performance_sales&lt;&gt;0),(sales/past_performance_sales)-1,"n.a.")</f>
        <v>#REF!</v>
      </c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643" t="str">
        <f>IF('P&amp;L'!T3&lt;&gt;0,(sales/'P&amp;L'!T3)-1,"n.a.")</f>
        <v>n.a.</v>
      </c>
      <c r="AD3" s="643" t="str">
        <f>IF('P&amp;L'!T3&lt;&gt;0,(sales/'P&amp;L'!T3)-1,"n.a.")</f>
        <v>n.a.</v>
      </c>
      <c r="AE3" s="643" t="e">
        <f>IF(IF(PS_AnnualDetail,'P&amp;L'!AG3,'P&amp;L'!#REF!)&lt;&gt;0,(sales/IF(PS_AnnualDetail,'P&amp;L'!AG3,'P&amp;L'!#REF!))-1,"n.a.")</f>
        <v>#REF!</v>
      </c>
      <c r="AF3" s="643">
        <f>IF(AND('P&amp;L'!AH3&lt;&gt;0,sales&lt;&gt;0),(sales/'P&amp;L'!AH3)-1,"n.a.")</f>
        <v>-0.95331836814932558</v>
      </c>
      <c r="AG3" s="643">
        <f>IF(AND('P&amp;L'!AI3&lt;&gt;0,sales&lt;&gt;0),(sales/'P&amp;L'!AI3)-1,"n.a.")</f>
        <v>-0.82822953502734808</v>
      </c>
      <c r="AH3" s="634">
        <v>0</v>
      </c>
      <c r="AM3"/>
      <c r="AN3"/>
    </row>
    <row r="4" spans="1:40" ht="12.4" customHeight="1" x14ac:dyDescent="0.2">
      <c r="A4" s="142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563"/>
      <c r="AM4"/>
      <c r="AN4"/>
    </row>
    <row r="5" spans="1:40" ht="16.149999999999999" customHeight="1" thickBot="1" x14ac:dyDescent="0.25">
      <c r="A5" s="327" t="s">
        <v>1</v>
      </c>
      <c r="B5" s="26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9"/>
      <c r="AM5"/>
      <c r="AN5"/>
    </row>
    <row r="6" spans="1:40" s="34" customFormat="1" ht="12.4" customHeight="1" x14ac:dyDescent="0.2">
      <c r="A6" s="14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405"/>
      <c r="N6" s="36"/>
      <c r="O6" s="646">
        <f>IF(total_assets&lt;&gt;0,accounts_receivable/total_assets,0)</f>
        <v>0</v>
      </c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646">
        <f>IF(total_assets&lt;&gt;0,accounts_receivable/total_assets,0)</f>
        <v>0.209526940267067</v>
      </c>
      <c r="AD6" s="646">
        <f>IF(total_assets&lt;&gt;0,accounts_receivable/total_assets,0)</f>
        <v>0.19365052497594135</v>
      </c>
      <c r="AE6" s="646">
        <f>IF(total_assets&lt;&gt;0,accounts_receivable/total_assets,0)</f>
        <v>0.17943900465252102</v>
      </c>
      <c r="AF6" s="646">
        <f>IF(total_assets&lt;&gt;0,accounts_receivable/total_assets,0)</f>
        <v>0.1775096532427449</v>
      </c>
      <c r="AG6" s="646">
        <f>IF(total_assets&lt;&gt;0,accounts_receivable/total_assets,0)</f>
        <v>0.1775096532427449</v>
      </c>
      <c r="AH6" s="647">
        <v>0</v>
      </c>
      <c r="AM6"/>
      <c r="AN6"/>
    </row>
    <row r="7" spans="1:40" s="34" customFormat="1" ht="12.4" customHeight="1" x14ac:dyDescent="0.2">
      <c r="A7" s="14" t="s">
        <v>225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646" t="e">
        <f>IF(AND(total_assets&lt;&gt;0,PS_Inventory),inventory/total_assets,0)</f>
        <v>#REF!</v>
      </c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646" t="e">
        <f>IF(AND(total_assets&lt;&gt;0,PS_Inventory),inventory/total_assets,0)</f>
        <v>#REF!</v>
      </c>
      <c r="AD7" s="646" t="e">
        <f>IF(AND(total_assets&lt;&gt;0,PS_Inventory),inventory/total_assets,0)</f>
        <v>#REF!</v>
      </c>
      <c r="AE7" s="646" t="e">
        <f>IF(AND(total_assets&lt;&gt;0,PS_Inventory),inventory/total_assets,0)</f>
        <v>#REF!</v>
      </c>
      <c r="AF7" s="646" t="e">
        <f>IF(AND(total_assets&lt;&gt;0,PS_Inventory),inventory/total_assets,0)</f>
        <v>#REF!</v>
      </c>
      <c r="AG7" s="646" t="e">
        <f>IF(AND(total_assets&lt;&gt;0,PS_Inventory),inventory/total_assets,0)</f>
        <v>#REF!</v>
      </c>
      <c r="AH7" s="647">
        <v>0</v>
      </c>
      <c r="AM7"/>
      <c r="AN7"/>
    </row>
    <row r="8" spans="1:40" ht="12.4" customHeight="1" x14ac:dyDescent="0.2">
      <c r="A8" s="19" t="s">
        <v>119</v>
      </c>
      <c r="B8" s="391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643">
        <f>IF(total_assets&lt;&gt;0,total_current_assets/total_assets,0)</f>
        <v>0.99702017389821318</v>
      </c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643">
        <f>IF(AND(total_assets&lt;&gt;0,total_current_assets&lt;&gt;0),total_current_assets/total_assets,0)</f>
        <v>0.99883560041625219</v>
      </c>
      <c r="AD8" s="643">
        <f>IF(AND(total_assets&lt;&gt;0,total_current_assets&lt;&gt;0),total_current_assets/total_assets,0)</f>
        <v>0.99905074547719341</v>
      </c>
      <c r="AE8" s="643">
        <f>IF(AND(total_assets&lt;&gt;0,total_current_assets&lt;&gt;0),total_current_assets/total_assets,0)</f>
        <v>0.99922160075782129</v>
      </c>
      <c r="AF8" s="643">
        <f>IF(AND(total_assets&lt;&gt;0,total_current_assets&lt;&gt;0),total_current_assets/total_assets,0)</f>
        <v>0.99931701705338838</v>
      </c>
      <c r="AG8" s="643">
        <f>IF(AND(total_assets&lt;&gt;0,total_current_assets&lt;&gt;0),total_current_assets/total_assets,0)</f>
        <v>0.99931701705338838</v>
      </c>
      <c r="AH8" s="642">
        <f>AH10-AH9</f>
        <v>1</v>
      </c>
      <c r="AM8"/>
      <c r="AN8"/>
    </row>
    <row r="9" spans="1:40" ht="12.4" customHeight="1" thickBot="1" x14ac:dyDescent="0.25">
      <c r="A9" s="19" t="s">
        <v>68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421"/>
      <c r="N9" s="391"/>
      <c r="O9" s="643">
        <f>IF(total_assets&lt;&gt;0,total_long_term_assets/total_assets,0)</f>
        <v>0</v>
      </c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643">
        <f>IF(total_assets&lt;&gt;0,total_long_term_assets/total_assets,0)</f>
        <v>0</v>
      </c>
      <c r="AD9" s="643">
        <f>IF(total_assets&lt;&gt;0,total_long_term_assets/total_assets,0)</f>
        <v>0</v>
      </c>
      <c r="AE9" s="643">
        <f>IF(total_assets&lt;&gt;0,total_long_term_assets/total_assets,0)</f>
        <v>0</v>
      </c>
      <c r="AF9" s="643">
        <f>IF(total_assets&lt;&gt;0,total_long_term_assets/total_assets,0)</f>
        <v>0</v>
      </c>
      <c r="AG9" s="643">
        <f>IF(total_assets&lt;&gt;0,total_long_term_assets/total_assets,0)</f>
        <v>0</v>
      </c>
      <c r="AH9" s="648">
        <v>0</v>
      </c>
      <c r="AM9"/>
      <c r="AN9"/>
    </row>
    <row r="10" spans="1:40" ht="12.4" customHeight="1" x14ac:dyDescent="0.2">
      <c r="A10" s="330" t="s">
        <v>102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645">
        <v>1</v>
      </c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645">
        <v>1</v>
      </c>
      <c r="AD10" s="645">
        <v>1</v>
      </c>
      <c r="AE10" s="645">
        <v>1</v>
      </c>
      <c r="AF10" s="645">
        <v>1</v>
      </c>
      <c r="AG10" s="645">
        <v>1</v>
      </c>
      <c r="AH10" s="642">
        <v>1</v>
      </c>
      <c r="AM10"/>
      <c r="AN10"/>
    </row>
    <row r="11" spans="1:40" ht="12.4" customHeight="1" x14ac:dyDescent="0.2">
      <c r="A11" s="182"/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93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1"/>
      <c r="AM11"/>
      <c r="AN11"/>
    </row>
    <row r="12" spans="1:40" ht="12.4" customHeight="1" x14ac:dyDescent="0.2">
      <c r="A12" s="19" t="s">
        <v>238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643">
        <f>IF(total_assets&lt;&gt;0,subtotal_current_liabilities/total_assets,0)</f>
        <v>1.0976221146209129E-2</v>
      </c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643">
        <f>IF(total_assets&lt;&gt;0,subtotal_current_liabilities/total_assets,0)</f>
        <v>9.7250849757751376E-2</v>
      </c>
      <c r="AD12" s="643">
        <f>IF(total_assets&lt;&gt;0,subtotal_current_liabilities/total_assets,0)</f>
        <v>8.479459638963012E-2</v>
      </c>
      <c r="AE12" s="643">
        <f>IF(total_assets&lt;&gt;0,subtotal_current_liabilities/total_assets,0)</f>
        <v>7.4515543975299955E-2</v>
      </c>
      <c r="AF12" s="643">
        <f>IF(total_assets&lt;&gt;0,subtotal_current_liabilities/total_assets,0)</f>
        <v>5.8520952966261627E-3</v>
      </c>
      <c r="AG12" s="643">
        <f>IF(total_assets&lt;&gt;0,subtotal_current_liabilities/total_assets,0)</f>
        <v>5.8520952966261627E-3</v>
      </c>
      <c r="AH12" s="634">
        <v>0</v>
      </c>
      <c r="AM12"/>
      <c r="AN12"/>
    </row>
    <row r="13" spans="1:40" ht="12.4" customHeight="1" x14ac:dyDescent="0.2">
      <c r="A13" s="19" t="s">
        <v>206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643">
        <f>IF(total_assets&lt;&gt;0,long_term_liabilities/total_assets,0)</f>
        <v>0</v>
      </c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643">
        <f>IF(total_assets&lt;&gt;0,long_term_liabilities/total_assets,0)</f>
        <v>0</v>
      </c>
      <c r="AD13" s="643">
        <f>IF(total_assets&lt;&gt;0,long_term_liabilities/total_assets,0)</f>
        <v>0</v>
      </c>
      <c r="AE13" s="643">
        <f>IF(total_assets&lt;&gt;0,long_term_liabilities/total_assets,0)</f>
        <v>0</v>
      </c>
      <c r="AF13" s="643">
        <f>IF(total_assets&lt;&gt;0,long_term_liabilities/total_assets,0)</f>
        <v>0</v>
      </c>
      <c r="AG13" s="643">
        <f>IF(total_assets&lt;&gt;0,long_term_liabilities/total_assets,0)</f>
        <v>0</v>
      </c>
      <c r="AH13" s="634">
        <v>0</v>
      </c>
      <c r="AM13"/>
      <c r="AN13"/>
    </row>
    <row r="14" spans="1:40" ht="12.4" customHeight="1" thickBot="1" x14ac:dyDescent="0.25">
      <c r="A14" s="182" t="s">
        <v>200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643">
        <f>SUM(O12:O13)</f>
        <v>1.0976221146209129E-2</v>
      </c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643">
        <f t="shared" ref="AC14:AH14" si="0">SUM(AC12:AC13)</f>
        <v>9.7250849757751376E-2</v>
      </c>
      <c r="AD14" s="643">
        <f t="shared" si="0"/>
        <v>8.479459638963012E-2</v>
      </c>
      <c r="AE14" s="643">
        <f t="shared" si="0"/>
        <v>7.4515543975299955E-2</v>
      </c>
      <c r="AF14" s="643">
        <f t="shared" si="0"/>
        <v>5.8520952966261627E-3</v>
      </c>
      <c r="AG14" s="643">
        <f t="shared" si="0"/>
        <v>5.8520952966261627E-3</v>
      </c>
      <c r="AH14" s="649">
        <f t="shared" si="0"/>
        <v>0</v>
      </c>
      <c r="AM14"/>
      <c r="AN14"/>
    </row>
    <row r="15" spans="1:40" ht="12.4" customHeight="1" x14ac:dyDescent="0.2">
      <c r="A15" s="330" t="s">
        <v>185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645">
        <f>O10-O14</f>
        <v>0.98902377885379089</v>
      </c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645">
        <f t="shared" ref="AC15:AH15" si="1">AC10-AC14</f>
        <v>0.90274915024224867</v>
      </c>
      <c r="AD15" s="645">
        <f t="shared" si="1"/>
        <v>0.91520540361036984</v>
      </c>
      <c r="AE15" s="645">
        <f t="shared" si="1"/>
        <v>0.92548445602470009</v>
      </c>
      <c r="AF15" s="645">
        <f t="shared" si="1"/>
        <v>0.99414790470337389</v>
      </c>
      <c r="AG15" s="645">
        <f t="shared" si="1"/>
        <v>0.99414790470337389</v>
      </c>
      <c r="AH15" s="642">
        <f t="shared" si="1"/>
        <v>1</v>
      </c>
      <c r="AM15"/>
      <c r="AN15"/>
    </row>
    <row r="16" spans="1:40" ht="12.4" customHeight="1" x14ac:dyDescent="0.2">
      <c r="A16" s="142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222"/>
      <c r="AF16" s="222"/>
      <c r="AG16" s="222"/>
      <c r="AH16" s="563"/>
      <c r="AM16"/>
      <c r="AN16"/>
    </row>
    <row r="17" spans="1:73" ht="16.149999999999999" customHeight="1" thickBot="1" x14ac:dyDescent="0.25">
      <c r="A17" s="327" t="e">
        <f>IF(PS_Nonprofit=TRUE,"Percent of Funding","Percent of Sales")</f>
        <v>#REF!</v>
      </c>
      <c r="B17" s="26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9"/>
      <c r="AM17"/>
      <c r="AN17"/>
    </row>
    <row r="18" spans="1:73" ht="12.4" customHeight="1" x14ac:dyDescent="0.2">
      <c r="A18" s="182" t="e">
        <f>IF(PS_Nonprofit=TRUE,"Funding","Sales")</f>
        <v>#REF!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643">
        <v>1</v>
      </c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643">
        <v>1</v>
      </c>
      <c r="AD18" s="643">
        <v>1</v>
      </c>
      <c r="AE18" s="643">
        <v>1</v>
      </c>
      <c r="AF18" s="643">
        <v>1</v>
      </c>
      <c r="AG18" s="643">
        <v>1</v>
      </c>
      <c r="AH18" s="642">
        <v>1</v>
      </c>
      <c r="AM18"/>
      <c r="AN18"/>
      <c r="BU18" s="255"/>
    </row>
    <row r="19" spans="1:73" ht="12.4" customHeight="1" x14ac:dyDescent="0.2">
      <c r="A19" s="182" t="e">
        <f>IF(PS_Nonprofit=TRUE,"Gross Surplus","Gross Margin")</f>
        <v>#REF!</v>
      </c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643" t="str">
        <f>gross_margin_percent</f>
        <v>n/a</v>
      </c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643">
        <f>gross_margin_percent</f>
        <v>0.92646932646932656</v>
      </c>
      <c r="AD19" s="643">
        <f>gross_margin_percent</f>
        <v>0.92698412698412702</v>
      </c>
      <c r="AE19" s="643">
        <f>gross_margin_percent</f>
        <v>0.92742709486895536</v>
      </c>
      <c r="AF19" s="643">
        <f>gross_margin_percent</f>
        <v>0.92781228433402352</v>
      </c>
      <c r="AG19" s="643">
        <f>gross_margin_percent</f>
        <v>0.92390298529455106</v>
      </c>
      <c r="AH19" s="634">
        <v>0</v>
      </c>
      <c r="AM19"/>
      <c r="AN19"/>
    </row>
    <row r="20" spans="1:73" ht="12.4" customHeight="1" x14ac:dyDescent="0.2">
      <c r="A20" s="182" t="s">
        <v>163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632">
        <f>IF(sales&lt;&gt;0,(gross_margin-net_profit)/sales,0)</f>
        <v>0</v>
      </c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632">
        <f>IF(sales&lt;&gt;0,(gross_margin-net_profit)/sales,0)</f>
        <v>0.50685457915057908</v>
      </c>
      <c r="AD20" s="632">
        <f>IF(sales&lt;&gt;0,(gross_margin-net_profit)/sales,0)</f>
        <v>0.49334048571428568</v>
      </c>
      <c r="AE20" s="632">
        <f>IF(sales&lt;&gt;0,(gross_margin-net_profit)/sales,0)</f>
        <v>0.48171207973421926</v>
      </c>
      <c r="AF20" s="632">
        <f>IF(sales&lt;&gt;0,(gross_margin-net_profit)/sales,0)</f>
        <v>0.47160042236024841</v>
      </c>
      <c r="AG20" s="632">
        <f>IF(sales&lt;&gt;0,(gross_margin-net_profit)/sales,0)</f>
        <v>0.53346408353716634</v>
      </c>
      <c r="AH20" s="634">
        <v>0</v>
      </c>
      <c r="AM20"/>
      <c r="AN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ht="12.4" customHeight="1" x14ac:dyDescent="0.2">
      <c r="A21" s="182" t="s">
        <v>80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632" t="e">
        <f>IF(PS_ExpenseCategories,IF(sales&lt;&gt;0,'P&amp;L'!#REF!/sales,0),IF(sales&lt;&gt;0,'P&amp;L'!T22/sales,0))</f>
        <v>#REF!</v>
      </c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632" t="e">
        <f>IF(PS_ExpenseCategories,IF(sales&lt;&gt;0,'P&amp;L'!#REF!/sales,0),IF(sales&lt;&gt;0,'P&amp;L'!AG22/sales,0))</f>
        <v>#REF!</v>
      </c>
      <c r="AD21" s="632" t="e">
        <f>IF(PS_ExpenseCategories,IF(sales&lt;&gt;0,'P&amp;L'!#REF!/sales,0),IF(sales&lt;&gt;0,'P&amp;L'!#REF!/sales,0))</f>
        <v>#REF!</v>
      </c>
      <c r="AE21" s="632" t="e">
        <f>IF(PS_ExpenseCategories,IF(sales&lt;&gt;0,'P&amp;L'!#REF!/sales,0),IF(sales&lt;&gt;0,'P&amp;L'!AH22/sales,0))</f>
        <v>#REF!</v>
      </c>
      <c r="AF21" s="632" t="e">
        <f>IF(PS_ExpenseCategories,IF(sales&lt;&gt;0,'P&amp;L'!#REF!/sales,0),IF(sales&lt;&gt;0,'P&amp;L'!AI22/sales,0))</f>
        <v>#REF!</v>
      </c>
      <c r="AG21" s="632" t="e">
        <f>IF(PS_ExpenseCategories,IF(sales&lt;&gt;0,'P&amp;L'!#REF!/sales,0),IF(sales&lt;&gt;0,'P&amp;L'!AJ22/sales,0))</f>
        <v>#REF!</v>
      </c>
      <c r="AH21" s="634">
        <v>0</v>
      </c>
      <c r="AM21"/>
      <c r="AN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ht="12.4" customHeight="1" x14ac:dyDescent="0.2">
      <c r="A22" s="182" t="e">
        <f>IF(PS_Nonprofit=TRUE,"Surplus Before Interest and Taxes","Profit Before Interest and Taxes")</f>
        <v>#REF!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643">
        <f>IF(sales&lt;&gt;0,profit_before_interest_and_taxes/sales,0)</f>
        <v>0</v>
      </c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643">
        <f>IF(sales&lt;&gt;0,profit_before_interest_and_taxes/sales,0)</f>
        <v>0.64556114972114975</v>
      </c>
      <c r="AD22" s="643">
        <f>IF(sales&lt;&gt;0,profit_before_interest_and_taxes/sales,0)</f>
        <v>0.66714406349206357</v>
      </c>
      <c r="AE22" s="643">
        <f>IF(sales&lt;&gt;0,profit_before_interest_and_taxes/sales,0)</f>
        <v>0.68571540789959395</v>
      </c>
      <c r="AF22" s="643">
        <f>IF(sales&lt;&gt;0,profit_before_interest_and_taxes/sales,0)</f>
        <v>0.70186440303657704</v>
      </c>
      <c r="AG22" s="643">
        <f>IF(sales&lt;&gt;0,profit_before_interest_and_taxes/sales,0)</f>
        <v>0.53989256475996816</v>
      </c>
      <c r="AH22" s="634">
        <v>0</v>
      </c>
      <c r="AM22"/>
      <c r="AN22"/>
      <c r="BC22"/>
    </row>
    <row r="23" spans="1:73" ht="12.4" customHeight="1" x14ac:dyDescent="0.2">
      <c r="A23" s="142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563"/>
      <c r="AM23"/>
      <c r="AN23"/>
    </row>
    <row r="24" spans="1:73" ht="16.149999999999999" customHeight="1" thickBot="1" x14ac:dyDescent="0.25">
      <c r="A24" s="327" t="s">
        <v>158</v>
      </c>
      <c r="B24" s="26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9"/>
      <c r="AM24"/>
      <c r="AN24"/>
    </row>
    <row r="25" spans="1:73" ht="12.4" customHeight="1" x14ac:dyDescent="0.2">
      <c r="A25" s="14" t="s">
        <v>218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630">
        <f>IF(subtotal_current_liabilities&lt;&gt;0,total_current_assets/subtotal_current_liabilities,0)</f>
        <v>90.834555956678699</v>
      </c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630">
        <f>IF(subtotal_current_liabilities&lt;&gt;0,total_current_assets/subtotal_current_liabilities,0)</f>
        <v>10.270713344966325</v>
      </c>
      <c r="AD25" s="630">
        <f>IF(subtotal_current_liabilities&lt;&gt;0,total_current_assets/subtotal_current_liabilities,0)</f>
        <v>11.782009562101901</v>
      </c>
      <c r="AE25" s="630">
        <f>IF(subtotal_current_liabilities&lt;&gt;0,total_current_assets/subtotal_current_liabilities,0)</f>
        <v>13.409572653580014</v>
      </c>
      <c r="AF25" s="630">
        <f>IF(subtotal_current_liabilities&lt;&gt;0,total_current_assets/subtotal_current_liabilities,0)</f>
        <v>170.76225973789462</v>
      </c>
      <c r="AG25" s="630">
        <f>IF(subtotal_current_liabilities&lt;&gt;0,total_current_assets/subtotal_current_liabilities,0)</f>
        <v>170.76225973789462</v>
      </c>
      <c r="AH25" s="627">
        <v>0</v>
      </c>
      <c r="AM25"/>
      <c r="AN25"/>
    </row>
    <row r="26" spans="1:73" ht="12.4" customHeight="1" x14ac:dyDescent="0.2">
      <c r="A26" s="14" t="s">
        <v>135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630">
        <f>IF(subtotal_current_liabilities&lt;&gt;0,((total_current_assets-inventory)/subtotal_current_liabilities),0)</f>
        <v>90.834555956678699</v>
      </c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630">
        <f>IF(subtotal_current_liabilities&lt;&gt;0,((total_current_assets-inventory)/subtotal_current_liabilities),0)</f>
        <v>8.4306931472122262</v>
      </c>
      <c r="AD26" s="630">
        <f>IF(subtotal_current_liabilities&lt;&gt;0,((total_current_assets-inventory)/subtotal_current_liabilities),0)</f>
        <v>9.8315963717113579</v>
      </c>
      <c r="AE26" s="630">
        <f>IF(subtotal_current_liabilities&lt;&gt;0,((total_current_assets-inventory)/subtotal_current_liabilities),0)</f>
        <v>11.352990326881352</v>
      </c>
      <c r="AF26" s="630">
        <f>IF(subtotal_current_liabilities&lt;&gt;0,((total_current_assets-inventory)/subtotal_current_liabilities),0)</f>
        <v>155.59592663451178</v>
      </c>
      <c r="AG26" s="630">
        <f>IF(subtotal_current_liabilities&lt;&gt;0,((total_current_assets-inventory)/subtotal_current_liabilities),0)</f>
        <v>155.59592663451178</v>
      </c>
      <c r="AH26" s="627">
        <v>0</v>
      </c>
      <c r="AM26"/>
      <c r="AN26"/>
    </row>
    <row r="27" spans="1:73" ht="12.4" customHeight="1" x14ac:dyDescent="0.2">
      <c r="A27" s="182" t="s">
        <v>171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643">
        <f>IF(total_assets&lt;&gt;0,total_liabilities/total_assets,0)</f>
        <v>1.0976221146209129E-2</v>
      </c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643">
        <f>IF(total_assets&lt;&gt;0,total_liabilities/total_assets,0)</f>
        <v>9.7250849757751376E-2</v>
      </c>
      <c r="AD27" s="643">
        <f>IF(total_assets&lt;&gt;0,total_liabilities/total_assets,0)</f>
        <v>8.479459638963012E-2</v>
      </c>
      <c r="AE27" s="643">
        <f>IF(total_assets&lt;&gt;0,total_liabilities/total_assets,0)</f>
        <v>7.4515543975299955E-2</v>
      </c>
      <c r="AF27" s="643">
        <f>IF(total_assets&lt;&gt;0,total_liabilities/total_assets,0)</f>
        <v>5.8520952966261627E-3</v>
      </c>
      <c r="AG27" s="643">
        <f>IF(total_assets&lt;&gt;0,total_liabilities/total_assets,0)</f>
        <v>5.8520952966261627E-3</v>
      </c>
      <c r="AH27" s="634">
        <v>0</v>
      </c>
      <c r="AM27"/>
      <c r="AN27"/>
    </row>
    <row r="28" spans="1:73" ht="12.4" customHeight="1" x14ac:dyDescent="0.2">
      <c r="A28" s="182" t="s">
        <v>32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643" t="e">
        <f>IF(net_worth&lt;&gt;0,(profit_before_interest_and_taxes-interest_expense)/net_worth,0)</f>
        <v>#REF!</v>
      </c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643" t="e">
        <f>IF(net_worth&lt;&gt;0,(profit_before_interest_and_taxes-interest_expense)/net_worth,0)</f>
        <v>#REF!</v>
      </c>
      <c r="AD28" s="643" t="e">
        <f>IF(net_worth&lt;&gt;0,(profit_before_interest_and_taxes-interest_expense)/net_worth,0)</f>
        <v>#REF!</v>
      </c>
      <c r="AE28" s="643" t="e">
        <f>IF(net_worth&lt;&gt;0,(profit_before_interest_and_taxes-interest_expense)/net_worth,0)</f>
        <v>#REF!</v>
      </c>
      <c r="AF28" s="643" t="e">
        <f>IF(net_worth&lt;&gt;0,(profit_before_interest_and_taxes-interest_expense)/net_worth,0)</f>
        <v>#REF!</v>
      </c>
      <c r="AG28" s="643" t="e">
        <f>IF(net_worth&lt;&gt;0,(profit_before_interest_and_taxes-interest_expense)/net_worth,0)</f>
        <v>#REF!</v>
      </c>
      <c r="AH28" s="634">
        <v>0</v>
      </c>
      <c r="AM28"/>
      <c r="AN28"/>
    </row>
    <row r="29" spans="1:73" ht="12.4" customHeight="1" x14ac:dyDescent="0.2">
      <c r="A29" s="182" t="s">
        <v>181</v>
      </c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643">
        <f>IF(total_assets&lt;&gt;0,(profit_before_interest_and_taxes-interest_expense)/total_assets,0)</f>
        <v>-5.0897173333789812E-2</v>
      </c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643">
        <f>IF(total_assets&lt;&gt;0,(profit_before_interest_and_taxes-interest_expense)/total_assets,0)</f>
        <v>0.23103797908734172</v>
      </c>
      <c r="AD29" s="643">
        <f>IF(total_assets&lt;&gt;0,(profit_before_interest_and_taxes-interest_expense)/total_assets,0)</f>
        <v>0.22067057376608068</v>
      </c>
      <c r="AE29" s="643">
        <f>IF(total_assets&lt;&gt;0,(profit_before_interest_and_taxes-interest_expense)/total_assets,0)</f>
        <v>0.21016813933211029</v>
      </c>
      <c r="AF29" s="643">
        <f>IF(total_assets&lt;&gt;0,(profit_before_interest_and_taxes-interest_expense)/total_assets,0)</f>
        <v>0.21280474719305043</v>
      </c>
      <c r="AG29" s="643">
        <f>IF(total_assets&lt;&gt;0,(profit_before_interest_and_taxes-interest_expense)/total_assets,0)</f>
        <v>1.1500337035065378</v>
      </c>
      <c r="AH29" s="634">
        <v>0</v>
      </c>
      <c r="AM29"/>
      <c r="AN29"/>
    </row>
    <row r="30" spans="1:73" ht="12.4" customHeight="1" x14ac:dyDescent="0.2">
      <c r="A30" s="142"/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474"/>
      <c r="AM30"/>
      <c r="AN30"/>
    </row>
    <row r="31" spans="1:73" ht="16.149999999999999" customHeight="1" thickBot="1" x14ac:dyDescent="0.25">
      <c r="A31" s="327" t="s">
        <v>75</v>
      </c>
      <c r="B31" s="26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333" t="e">
        <f>IF(PS_DateSetting=1," Year 1",IF(PS_StartingMonth&gt;1,"FY "&amp;PS_StartingYear+1,PS_StartingYear))</f>
        <v>#REF!</v>
      </c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 t="e">
        <f>IF(PS_DateSetting=1," Year 2",IF(PS_StartingMonth&gt;1,"FY "&amp;PS_StartingYear+2,PS_StartingYear+1))</f>
        <v>#REF!</v>
      </c>
      <c r="AD31" s="333" t="e">
        <f>IF(PS_DateSetting=1," Year 2",IF(PS_StartingMonth&gt;1,"FY "&amp;PS_StartingYear+2,PS_StartingYear+1))</f>
        <v>#REF!</v>
      </c>
      <c r="AE31" s="333" t="e">
        <f>IF(PS_DateSetting=1," Year 3",IF(PS_StartingMonth&gt;1,"FY "&amp;PS_StartingYear+3,PS_StartingYear+2))</f>
        <v>#REF!</v>
      </c>
      <c r="AF31" s="333" t="e">
        <f>IF(PS_DateSetting=1," Year 4",IF(PS_StartingMonth&gt;1,"FY "&amp;PS_StartingYear+4,PS_StartingYear+3))</f>
        <v>#REF!</v>
      </c>
      <c r="AG31" s="333" t="e">
        <f>IF(PS_DateSetting=1," Year 5",IF(PS_StartingMonth&gt;1,"FY "&amp;PS_StartingYear+5,PS_StartingYear+4))</f>
        <v>#REF!</v>
      </c>
      <c r="AH31" s="369"/>
      <c r="AM31"/>
      <c r="AN31"/>
    </row>
    <row r="32" spans="1:73" ht="12.4" customHeight="1" x14ac:dyDescent="0.2">
      <c r="A32" s="19" t="e">
        <f>IF(PS_Nonprofit=TRUE,"Net Surplus Margin","Net Profit Margin")</f>
        <v>#REF!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641">
        <f>IF(sales&gt;0,net_profit/sales,0)</f>
        <v>0</v>
      </c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641">
        <f>IF(sales&gt;0,net_profit/sales,0)</f>
        <v>0.41961474731874737</v>
      </c>
      <c r="AD32" s="641">
        <f>IF(sales&gt;0,net_profit/sales,0)</f>
        <v>0.43364364126984134</v>
      </c>
      <c r="AE32" s="641">
        <f>IF(sales&gt;0,net_profit/sales,0)</f>
        <v>0.44571501513473616</v>
      </c>
      <c r="AF32" s="641">
        <f>IF(sales&gt;0,net_profit/sales,0)</f>
        <v>0.45621186197377511</v>
      </c>
      <c r="AG32" s="650">
        <f>IF(sales&gt;0,net_profit/sales,0)</f>
        <v>0.39043890175738472</v>
      </c>
      <c r="AH32" s="647" t="s">
        <v>11</v>
      </c>
      <c r="AM32"/>
      <c r="AN32"/>
    </row>
    <row r="33" spans="1:40" ht="12.4" customHeight="1" x14ac:dyDescent="0.2">
      <c r="A33" s="19" t="s">
        <v>19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641" t="e">
        <f>IF(net_worth&gt;0,net_profit/net_worth,0)</f>
        <v>#REF!</v>
      </c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641" t="e">
        <f>IF(net_worth&gt;0,net_profit/net_worth,0)</f>
        <v>#REF!</v>
      </c>
      <c r="AD33" s="641" t="e">
        <f>IF(net_worth&gt;0,net_profit/net_worth,0)</f>
        <v>#REF!</v>
      </c>
      <c r="AE33" s="641" t="e">
        <f>IF(net_worth&gt;0,net_profit/net_worth,0)</f>
        <v>#REF!</v>
      </c>
      <c r="AF33" s="641" t="e">
        <f>IF(net_worth&gt;0,net_profit/net_worth,0)</f>
        <v>#REF!</v>
      </c>
      <c r="AG33" s="641" t="e">
        <f>IF(net_worth&gt;0,net_profit/net_worth,0)</f>
        <v>#REF!</v>
      </c>
      <c r="AH33" s="647" t="s">
        <v>11</v>
      </c>
      <c r="AM33"/>
      <c r="AN33"/>
    </row>
    <row r="34" spans="1:40" ht="12.4" customHeight="1" x14ac:dyDescent="0.2">
      <c r="A34" s="4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241"/>
      <c r="AM34"/>
      <c r="AN34"/>
    </row>
    <row r="35" spans="1:40" ht="16.149999999999999" customHeight="1" thickBot="1" x14ac:dyDescent="0.25">
      <c r="A35" s="327" t="s">
        <v>82</v>
      </c>
      <c r="B35" s="26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9"/>
      <c r="AM35"/>
      <c r="AN35"/>
    </row>
    <row r="36" spans="1:40" s="34" customFormat="1" ht="12.4" customHeight="1" x14ac:dyDescent="0.2">
      <c r="A36" s="53" t="s">
        <v>219</v>
      </c>
      <c r="B36" s="18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6"/>
      <c r="O36" s="623" t="e">
        <f>IF(AND(PS_Receivables=TRUE,accounts_receivable&gt;0),sales_on_credit/accounts_receivable,0)</f>
        <v>#REF!</v>
      </c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623" t="e">
        <f>IF(AND(PS_Receivables=TRUE,accounts_receivable&gt;0),sales_on_credit/accounts_receivable,0)</f>
        <v>#REF!</v>
      </c>
      <c r="AD36" s="623" t="e">
        <f>IF(AND(PS_Receivables=TRUE,accounts_receivable&gt;0),sales_on_credit/accounts_receivable,0)</f>
        <v>#REF!</v>
      </c>
      <c r="AE36" s="623" t="e">
        <f>IF(AND(PS_Receivables=TRUE,accounts_receivable&gt;0),sales_on_credit/accounts_receivable,0)</f>
        <v>#REF!</v>
      </c>
      <c r="AF36" s="623" t="e">
        <f>IF(AND(PS_Receivables=TRUE,accounts_receivable&gt;0),sales_on_credit/accounts_receivable,0)</f>
        <v>#REF!</v>
      </c>
      <c r="AG36" s="623" t="e">
        <f>IF(AND(PS_Receivables=TRUE,accounts_receivable&gt;0),sales_on_credit/accounts_receivable,0)</f>
        <v>#REF!</v>
      </c>
      <c r="AH36" s="647" t="s">
        <v>11</v>
      </c>
      <c r="AM36"/>
      <c r="AN36"/>
    </row>
    <row r="37" spans="1:40" s="34" customFormat="1" ht="12.4" customHeight="1" x14ac:dyDescent="0.2">
      <c r="A37" s="53" t="s">
        <v>36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428"/>
      <c r="N37" s="18"/>
      <c r="O37" s="621" t="e">
        <f>IF(AND(PS_Receivables=TRUE,sales_on_credit&gt;0),(AVERAGE(Balance!H7:S7)*365)/sales_on_credit,0)</f>
        <v>#REF!</v>
      </c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621" t="e">
        <f>IF(AND(PS_Receivables=TRUE,sales_on_credit&gt;0),(((Balance!T7+accounts_receivable)/2)*365)/sales_on_credit,0)</f>
        <v>#REF!</v>
      </c>
      <c r="AD37" s="621" t="e">
        <f>IF(AND(PS_Receivables=TRUE,sales_on_credit&gt;0),(((Balance!T7+accounts_receivable)/2)*365)/sales_on_credit,0)</f>
        <v>#REF!</v>
      </c>
      <c r="AE37" s="621" t="e">
        <f>IF(AND(PS_Receivables=TRUE,sales_on_credit&gt;0),(((IF(PS_AnnualDetail,Balance!AG7,Balance!#REF!)+accounts_receivable)/2)*365)/sales_on_credit,0)</f>
        <v>#REF!</v>
      </c>
      <c r="AF37" s="621" t="e">
        <f>IF(AND(PS_Receivables=TRUE,sales_on_credit&gt;0),(((Balance!AH7+accounts_receivable)/2)*365)/sales_on_credit,0)</f>
        <v>#REF!</v>
      </c>
      <c r="AG37" s="621" t="e">
        <f>IF(AND(PS_Receivables=TRUE,sales_on_credit&gt;0),(((Balance!AI7+accounts_receivable)/2)*365)/sales_on_credit,0)</f>
        <v>#REF!</v>
      </c>
      <c r="AH37" s="647" t="s">
        <v>11</v>
      </c>
      <c r="AM37"/>
      <c r="AN37"/>
    </row>
    <row r="38" spans="1:40" s="34" customFormat="1" ht="12.4" customHeight="1" x14ac:dyDescent="0.2">
      <c r="A38" s="53" t="s">
        <v>152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623" t="e">
        <f>IF(AND(PS_Inventory=TRUE,inventory&gt;0),direct_cost_of_sales/AVERAGE(Balance!H8:S8),0)</f>
        <v>#REF!</v>
      </c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623" t="e">
        <f>IF(AND(PS_Inventory=TRUE,inventory&gt;0),(direct_cost_of_sales/((inventory+Balance!T8)/2)),0)</f>
        <v>#REF!</v>
      </c>
      <c r="AD38" s="623" t="e">
        <f>IF(AND(PS_Inventory=TRUE,inventory&gt;0),(direct_cost_of_sales/((inventory+Balance!T8)/2)),0)</f>
        <v>#REF!</v>
      </c>
      <c r="AE38" s="623" t="e">
        <f>IF(PS_AnnualDetail,IF(AND(PS_Inventory=TRUE,inventory&gt;0),(direct_cost_of_sales/((inventory+Balance!AG8)/2)),0),IF(AND(PS_Inventory=TRUE,inventory&gt;0),(direct_cost_of_sales/((inventory+Balance!#REF!)/2)),0))</f>
        <v>#REF!</v>
      </c>
      <c r="AF38" s="623" t="e">
        <f>IF(AND(PS_Inventory=TRUE,inventory&gt;0),(direct_cost_of_sales/((inventory+Balance!AH8)/2)),0)</f>
        <v>#REF!</v>
      </c>
      <c r="AG38" s="623" t="e">
        <f>IF(AND(PS_Inventory=TRUE,inventory&gt;0),(direct_cost_of_sales/((inventory+Balance!AI8)/2)),0)</f>
        <v>#REF!</v>
      </c>
      <c r="AH38" s="647" t="s">
        <v>11</v>
      </c>
      <c r="AM38"/>
      <c r="AN38"/>
    </row>
    <row r="39" spans="1:40" s="34" customFormat="1" ht="12.4" customHeight="1" x14ac:dyDescent="0.2">
      <c r="A39" s="53" t="s">
        <v>223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428"/>
      <c r="N39" s="18"/>
      <c r="O39" s="623" t="e">
        <f>IF(accounts_payable&lt;&gt;0,new_accounts_payable/accounts_payable,0)</f>
        <v>#REF!</v>
      </c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623" t="e">
        <f>IF(accounts_payable&lt;&gt;0,new_accounts_payable/accounts_payable,0)</f>
        <v>#REF!</v>
      </c>
      <c r="AD39" s="623" t="e">
        <f>IF(accounts_payable&lt;&gt;0,new_accounts_payable/accounts_payable,0)</f>
        <v>#REF!</v>
      </c>
      <c r="AE39" s="623" t="e">
        <f>IF(accounts_payable&lt;&gt;0,new_accounts_payable/accounts_payable,0)</f>
        <v>#REF!</v>
      </c>
      <c r="AF39" s="623" t="e">
        <f>IF(accounts_payable&lt;&gt;0,new_accounts_payable/accounts_payable,0)</f>
        <v>#REF!</v>
      </c>
      <c r="AG39" s="623" t="e">
        <f>IF(accounts_payable&lt;&gt;0,new_accounts_payable/accounts_payable,0)</f>
        <v>#REF!</v>
      </c>
      <c r="AH39" s="647" t="s">
        <v>11</v>
      </c>
      <c r="AM39"/>
      <c r="AN39"/>
    </row>
    <row r="40" spans="1:40" s="34" customFormat="1" ht="12.4" customHeight="1" x14ac:dyDescent="0.2">
      <c r="A40" s="53" t="s">
        <v>12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428"/>
      <c r="N40" s="18"/>
      <c r="O40" s="621" t="e">
        <f>IF(new_accounts_payable&lt;&gt;0,(AVERAGE(Balance!B19:S19)*365)/new_accounts_payable,0)</f>
        <v>#REF!</v>
      </c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621" t="e">
        <f>IF(new_accounts_payable&lt;&gt;0,(((Balance!T19+accounts_payable)/2)*365)/new_accounts_payable,0)</f>
        <v>#REF!</v>
      </c>
      <c r="AD40" s="621" t="e">
        <f>IF(new_accounts_payable&lt;&gt;0,(((Balance!T19+accounts_payable)/2)*365)/new_accounts_payable,0)</f>
        <v>#REF!</v>
      </c>
      <c r="AE40" s="621" t="e">
        <f>IF(new_accounts_payable&lt;&gt;0,(((IF(PS_AnnualDetail,Balance!AG19,Balance!#REF!)+accounts_payable)/2)*365)/new_accounts_payable,0)</f>
        <v>#REF!</v>
      </c>
      <c r="AF40" s="621" t="e">
        <f>IF(new_accounts_payable&lt;&gt;0,(((Balance!AH19+accounts_payable)/2)*365)/new_accounts_payable,0)</f>
        <v>#REF!</v>
      </c>
      <c r="AG40" s="621" t="e">
        <f>IF(new_accounts_payable&lt;&gt;0,(((Balance!AI19+accounts_payable)/2)*365)/new_accounts_payable,0)</f>
        <v>#REF!</v>
      </c>
      <c r="AH40" s="647" t="s">
        <v>11</v>
      </c>
      <c r="AM40"/>
      <c r="AN40"/>
    </row>
    <row r="41" spans="1:40" ht="12.4" customHeight="1" x14ac:dyDescent="0.2">
      <c r="A41" s="19" t="s">
        <v>51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624">
        <f>IF(total_assets&gt;0,sales/total_assets,0)</f>
        <v>0</v>
      </c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624">
        <f>IF(total_assets&gt;0,sales/total_assets,0)</f>
        <v>0.35788705560602369</v>
      </c>
      <c r="AD41" s="624">
        <f>IF(total_assets&gt;0,sales/total_assets,0)</f>
        <v>0.33076899854435388</v>
      </c>
      <c r="AE41" s="624">
        <f>IF(total_assets&gt;0,sales/total_assets,0)</f>
        <v>0.30649470160787784</v>
      </c>
      <c r="AF41" s="624">
        <f>IF(total_assets&gt;0,sales/total_assets,0)</f>
        <v>0.30319923089468936</v>
      </c>
      <c r="AG41" s="624">
        <f>IF(total_assets&gt;0,sales/total_assets,0)</f>
        <v>2.1301158389129387</v>
      </c>
      <c r="AH41" s="647" t="s">
        <v>11</v>
      </c>
      <c r="AM41"/>
      <c r="AN41"/>
    </row>
    <row r="42" spans="1:40" ht="12.4" customHeight="1" x14ac:dyDescent="0.2">
      <c r="A42" s="4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120"/>
      <c r="AF42" s="120"/>
      <c r="AG42" s="120"/>
      <c r="AH42" s="240"/>
      <c r="AM42"/>
      <c r="AN42"/>
    </row>
    <row r="43" spans="1:40" ht="16.149999999999999" customHeight="1" thickBot="1" x14ac:dyDescent="0.25">
      <c r="A43" s="327" t="s">
        <v>107</v>
      </c>
      <c r="B43" s="26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9"/>
      <c r="AM43"/>
      <c r="AN43"/>
    </row>
    <row r="44" spans="1:40" ht="12.4" customHeight="1" x14ac:dyDescent="0.2">
      <c r="A44" s="19" t="s">
        <v>133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624" t="e">
        <f>IF(net_worth&gt;0,total_liabilities/net_worth,0)</f>
        <v>#REF!</v>
      </c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624" t="e">
        <f>IF(net_worth&gt;0,total_liabilities/net_worth,0)</f>
        <v>#REF!</v>
      </c>
      <c r="AD44" s="624" t="e">
        <f>IF(net_worth&gt;0,total_liabilities/net_worth,0)</f>
        <v>#REF!</v>
      </c>
      <c r="AE44" s="624" t="e">
        <f>IF(net_worth&gt;0,total_liabilities/net_worth,0)</f>
        <v>#REF!</v>
      </c>
      <c r="AF44" s="624" t="e">
        <f>IF(net_worth&gt;0,total_liabilities/net_worth,0)</f>
        <v>#REF!</v>
      </c>
      <c r="AG44" s="624" t="e">
        <f>IF(net_worth&gt;0,total_liabilities/net_worth,0)</f>
        <v>#REF!</v>
      </c>
      <c r="AH44" s="647" t="s">
        <v>11</v>
      </c>
      <c r="AM44"/>
      <c r="AN44"/>
    </row>
    <row r="45" spans="1:40" ht="12.4" customHeight="1" x14ac:dyDescent="0.2">
      <c r="A45" s="19" t="s">
        <v>66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624">
        <f>IF(total_liabilities&gt;0,subtotal_current_liabilities/total_liabilities,0)</f>
        <v>1</v>
      </c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624">
        <f>IF(total_liabilities&gt;0,subtotal_current_liabilities/total_liabilities,0)</f>
        <v>1</v>
      </c>
      <c r="AD45" s="624">
        <f>IF(total_liabilities&gt;0,subtotal_current_liabilities/total_liabilities,0)</f>
        <v>1</v>
      </c>
      <c r="AE45" s="624">
        <f>IF(total_liabilities&gt;0,subtotal_current_liabilities/total_liabilities,0)</f>
        <v>1</v>
      </c>
      <c r="AF45" s="624">
        <f>IF(total_liabilities&gt;0,subtotal_current_liabilities/total_liabilities,0)</f>
        <v>1</v>
      </c>
      <c r="AG45" s="624">
        <f>IF(total_liabilities&gt;0,subtotal_current_liabilities/total_liabilities,0)</f>
        <v>1</v>
      </c>
      <c r="AH45" s="647" t="s">
        <v>11</v>
      </c>
      <c r="AM45"/>
      <c r="AN45"/>
    </row>
    <row r="46" spans="1:40" ht="12.4" customHeight="1" x14ac:dyDescent="0.2">
      <c r="A46" s="4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240"/>
      <c r="AM46"/>
      <c r="AN46"/>
    </row>
    <row r="47" spans="1:40" ht="16.149999999999999" customHeight="1" thickBot="1" x14ac:dyDescent="0.25">
      <c r="A47" s="327" t="s">
        <v>125</v>
      </c>
      <c r="B47" s="26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9"/>
      <c r="AM47"/>
      <c r="AN47"/>
    </row>
    <row r="48" spans="1:40" ht="12.4" customHeight="1" x14ac:dyDescent="0.2">
      <c r="A48" s="19" t="s">
        <v>239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02">
        <f>total_current_assets-subtotal_current_liabilities</f>
        <v>1036840.5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>
        <f>total_current_assets-subtotal_current_liabilities</f>
        <v>3058451.5958333337</v>
      </c>
      <c r="AD48" s="102">
        <f>total_current_assets-subtotal_current_liabilities</f>
        <v>3627792.208333334</v>
      </c>
      <c r="AE48" s="102">
        <f>total_current_assets-subtotal_current_liabilities</f>
        <v>4256851.5708333338</v>
      </c>
      <c r="AF48" s="102">
        <f>total_current_assets-subtotal_current_liabilities</f>
        <v>4945629.6833333336</v>
      </c>
      <c r="AG48" s="102">
        <f>total_current_assets-subtotal_current_liabilities</f>
        <v>4945629.6833333336</v>
      </c>
      <c r="AH48" s="647" t="s">
        <v>11</v>
      </c>
      <c r="AM48"/>
      <c r="AN48"/>
    </row>
    <row r="49" spans="1:40" ht="12.4" customHeight="1" x14ac:dyDescent="0.2">
      <c r="A49" s="19" t="s">
        <v>190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624">
        <f>IF(interest_expense&gt;0,profit_before_interest_and_taxes/interest_expense,0)</f>
        <v>0</v>
      </c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624">
        <f>IF(interest_expense&gt;0,profit_before_interest_and_taxes/interest_expense,0)</f>
        <v>0</v>
      </c>
      <c r="AD49" s="624">
        <f>IF(interest_expense&gt;0,profit_before_interest_and_taxes/interest_expense,0)</f>
        <v>0</v>
      </c>
      <c r="AE49" s="624">
        <f>IF(interest_expense&gt;0,profit_before_interest_and_taxes/interest_expense,0)</f>
        <v>0</v>
      </c>
      <c r="AF49" s="624">
        <f>IF(interest_expense&gt;0,profit_before_interest_and_taxes/interest_expense,0)</f>
        <v>0</v>
      </c>
      <c r="AG49" s="624">
        <f>IF(interest_expense&gt;0,profit_before_interest_and_taxes/interest_expense,0)</f>
        <v>0</v>
      </c>
      <c r="AH49" s="647" t="s">
        <v>11</v>
      </c>
      <c r="AM49"/>
      <c r="AN49"/>
    </row>
    <row r="50" spans="1:40" ht="12.4" customHeight="1" x14ac:dyDescent="0.2">
      <c r="A50" s="47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240"/>
      <c r="AM50"/>
      <c r="AN50"/>
    </row>
    <row r="51" spans="1:40" ht="16.149999999999999" customHeight="1" thickBot="1" x14ac:dyDescent="0.25">
      <c r="A51" s="327" t="s">
        <v>75</v>
      </c>
      <c r="B51" s="26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9"/>
      <c r="AM51"/>
      <c r="AN51"/>
    </row>
    <row r="52" spans="1:40" ht="12.4" customHeight="1" x14ac:dyDescent="0.2">
      <c r="A52" s="19" t="e">
        <f>IF(PS_Nonprofit=TRUE,"Assets to Funding","Assets to Sales")</f>
        <v>#REF!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624" t="str">
        <f>IF(sales&gt;0,total_assets/sales,"n.a.")</f>
        <v>n.a.</v>
      </c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624">
        <f>IF(sales&gt;0,total_assets/sales,"n.a.")</f>
        <v>2.7941776164736165</v>
      </c>
      <c r="AD52" s="624">
        <f>IF(sales&gt;0,total_assets/sales,"n.a.")</f>
        <v>3.0232579365079366</v>
      </c>
      <c r="AE52" s="624">
        <f>IF(sales&gt;0,total_assets/sales,"n.a.")</f>
        <v>3.2626991421188634</v>
      </c>
      <c r="AF52" s="624">
        <f>IF(sales&gt;0,total_assets/sales,"n.a.")</f>
        <v>3.2981614005060966</v>
      </c>
      <c r="AG52" s="624">
        <f>IF(sales&gt;0,total_assets/sales,"n.a.")</f>
        <v>0.46945803685039478</v>
      </c>
      <c r="AH52" s="647" t="s">
        <v>11</v>
      </c>
      <c r="AM52"/>
      <c r="AN52"/>
    </row>
    <row r="53" spans="1:40" ht="12.4" customHeight="1" x14ac:dyDescent="0.2">
      <c r="A53" s="631" t="s">
        <v>162</v>
      </c>
      <c r="B53" s="432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662">
        <f>IF(total_assets&gt;0,subtotal_current_liabilities/total_assets,0)</f>
        <v>1.0976221146209129E-2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662">
        <f>IF(total_assets&gt;0,subtotal_current_liabilities/total_assets,0)</f>
        <v>9.7250849757751376E-2</v>
      </c>
      <c r="AD53" s="662">
        <f>IF(total_assets&gt;0,subtotal_current_liabilities/total_assets,0)</f>
        <v>8.479459638963012E-2</v>
      </c>
      <c r="AE53" s="662">
        <f>IF(total_assets&gt;0,subtotal_current_liabilities/total_assets,0)</f>
        <v>7.4515543975299955E-2</v>
      </c>
      <c r="AF53" s="662">
        <f>IF(total_assets&gt;0,subtotal_current_liabilities/total_assets,0)</f>
        <v>5.8520952966261627E-3</v>
      </c>
      <c r="AG53" s="662">
        <f>IF(total_assets&gt;0,subtotal_current_liabilities/total_assets,0)</f>
        <v>5.8520952966261627E-3</v>
      </c>
      <c r="AH53" s="647" t="s">
        <v>11</v>
      </c>
      <c r="AM53"/>
      <c r="AN53"/>
    </row>
    <row r="54" spans="1:40" ht="12.4" customHeight="1" x14ac:dyDescent="0.2">
      <c r="A54" s="631" t="s">
        <v>165</v>
      </c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624">
        <f>IF(subtotal_current_liabilities&gt;0,(total_current_assets-(accounts_receivable+inventory))/subtotal_current_liabilities,0)</f>
        <v>90.834555956678699</v>
      </c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624">
        <f>IF(subtotal_current_liabilities&gt;0,(total_current_assets-(accounts_receivable+inventory))/subtotal_current_liabilities,0)</f>
        <v>6.2761933069641298</v>
      </c>
      <c r="AD54" s="624">
        <f>IF(subtotal_current_liabilities&gt;0,(total_current_assets-(accounts_receivable+inventory))/subtotal_current_liabilities,0)</f>
        <v>7.5478361650335692</v>
      </c>
      <c r="AE54" s="624">
        <f>IF(subtotal_current_liabilities&gt;0,(total_current_assets-(accounts_receivable+inventory))/subtotal_current_liabilities,0)</f>
        <v>8.9449155134974401</v>
      </c>
      <c r="AF54" s="624">
        <f>IF(subtotal_current_liabilities&gt;0,(total_current_assets-(accounts_receivable+inventory))/subtotal_current_liabilities,0)</f>
        <v>125.26326042774609</v>
      </c>
      <c r="AG54" s="624">
        <f>IF(subtotal_current_liabilities&gt;0,(total_current_assets-(accounts_receivable+inventory))/subtotal_current_liabilities,0)</f>
        <v>125.26326042774609</v>
      </c>
      <c r="AH54" s="647" t="s">
        <v>11</v>
      </c>
      <c r="AM54"/>
      <c r="AN54"/>
    </row>
    <row r="55" spans="1:40" ht="12.4" customHeight="1" x14ac:dyDescent="0.2">
      <c r="A55" s="19" t="e">
        <f>IF(PS_Nonprofit=TRUE,"Funding/Net Worth","Sales/Net Worth")</f>
        <v>#REF!</v>
      </c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24" t="e">
        <f>IF(net_worth&gt;0,sales/net_worth,0)</f>
        <v>#REF!</v>
      </c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624" t="e">
        <f>IF(net_worth&gt;0,sales/net_worth,0)</f>
        <v>#REF!</v>
      </c>
      <c r="AD55" s="624" t="e">
        <f>IF(net_worth&gt;0,sales/net_worth,0)</f>
        <v>#REF!</v>
      </c>
      <c r="AE55" s="624" t="e">
        <f>IF(net_worth&gt;0,sales/net_worth,0)</f>
        <v>#REF!</v>
      </c>
      <c r="AF55" s="624" t="e">
        <f>IF(net_worth&gt;0,sales/net_worth,0)</f>
        <v>#REF!</v>
      </c>
      <c r="AG55" s="624" t="e">
        <f>IF(net_worth&gt;0,sales/net_worth,0)</f>
        <v>#REF!</v>
      </c>
      <c r="AH55" s="647" t="s">
        <v>11</v>
      </c>
      <c r="AM55"/>
      <c r="AN55"/>
    </row>
    <row r="56" spans="1:40" ht="12.4" customHeight="1" x14ac:dyDescent="0.2">
      <c r="A56" s="60" t="s">
        <v>140</v>
      </c>
      <c r="B56" s="433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5">
        <f>IF(net_profit&gt;0,dividends/net_profit,0)</f>
        <v>0</v>
      </c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625" t="e">
        <f>IF(net_profit&gt;0,dividends/net_profit,0)</f>
        <v>#REF!</v>
      </c>
      <c r="AD56" s="625" t="e">
        <f>IF(net_profit&gt;0,dividends/net_profit,0)</f>
        <v>#REF!</v>
      </c>
      <c r="AE56" s="625" t="e">
        <f>IF(net_profit&gt;0,dividends/net_profit,0)</f>
        <v>#REF!</v>
      </c>
      <c r="AF56" s="625" t="e">
        <f>IF(net_profit&gt;0,dividends/net_profit,0)</f>
        <v>#REF!</v>
      </c>
      <c r="AG56" s="625" t="e">
        <f>IF(net_profit&gt;0,dividends/net_profit,0)</f>
        <v>#REF!</v>
      </c>
      <c r="AH56" s="651" t="s">
        <v>11</v>
      </c>
      <c r="AM56"/>
      <c r="AN56"/>
    </row>
    <row r="57" spans="1:40" ht="12.4" customHeight="1" x14ac:dyDescent="0.2">
      <c r="A57"/>
      <c r="AH57" s="22"/>
      <c r="AL57" s="22"/>
      <c r="AM57"/>
      <c r="AN57"/>
    </row>
    <row r="59" spans="1:40" ht="12.4" customHeight="1" x14ac:dyDescent="0.2">
      <c r="A59"/>
    </row>
    <row r="60" spans="1:40" ht="12.4" customHeight="1" x14ac:dyDescent="0.2">
      <c r="A60"/>
    </row>
    <row r="61" spans="1:40" ht="12.4" customHeight="1" x14ac:dyDescent="0.2">
      <c r="A61"/>
    </row>
    <row r="62" spans="1:40" ht="12.4" customHeight="1" x14ac:dyDescent="0.2">
      <c r="A62"/>
    </row>
    <row r="63" spans="1:40" ht="12.4" customHeight="1" x14ac:dyDescent="0.2">
      <c r="A63"/>
    </row>
    <row r="64" spans="1:40" ht="12.4" customHeight="1" x14ac:dyDescent="0.2">
      <c r="A64" s="22"/>
    </row>
    <row r="70" spans="3:33" ht="12.4" customHeight="1" x14ac:dyDescent="0.2">
      <c r="C70"/>
      <c r="D70"/>
      <c r="O70"/>
      <c r="AC70"/>
      <c r="AD70"/>
      <c r="AE70"/>
      <c r="AF70"/>
      <c r="AG70"/>
    </row>
    <row r="71" spans="3:33" ht="12.4" customHeight="1" x14ac:dyDescent="0.2">
      <c r="C71"/>
    </row>
  </sheetData>
  <printOptions headings="1"/>
  <pageMargins left="0.75" right="0.75" top="1" bottom="1" header="0.5" footer="0.5"/>
  <pageSetup scale="27" orientation="landscape" horizontalDpi="1200" verticalDpi="2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2" sqref="B2"/>
    </sheetView>
  </sheetViews>
  <sheetFormatPr defaultRowHeight="12.75" x14ac:dyDescent="0.2"/>
  <sheetData>
    <row r="1" spans="1:1" x14ac:dyDescent="0.2">
      <c r="A1" s="66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573</vt:i4>
      </vt:variant>
    </vt:vector>
  </HeadingPairs>
  <TitlesOfParts>
    <vt:vector size="598" baseType="lpstr">
      <vt:lpstr>Sales Forecast (old)</vt:lpstr>
      <vt:lpstr>Sales and COGS Forecasts (OLD)</vt:lpstr>
      <vt:lpstr>Sales and COGS Forecasts</vt:lpstr>
      <vt:lpstr>Calculations</vt:lpstr>
      <vt:lpstr>Financials</vt:lpstr>
      <vt:lpstr>Break-even</vt:lpstr>
      <vt:lpstr>Market</vt:lpstr>
      <vt:lpstr>Personnel</vt:lpstr>
      <vt:lpstr>Graph Rev EBITDA</vt:lpstr>
      <vt:lpstr>P&amp;L</vt:lpstr>
      <vt:lpstr>Funding</vt:lpstr>
      <vt:lpstr>Past</vt:lpstr>
      <vt:lpstr>Balance</vt:lpstr>
      <vt:lpstr>Cash Flow</vt:lpstr>
      <vt:lpstr>Use of Proceeds</vt:lpstr>
      <vt:lpstr>DCF</vt:lpstr>
      <vt:lpstr>Hi-Vol Surgeons</vt:lpstr>
      <vt:lpstr>Sources and Uses</vt:lpstr>
      <vt:lpstr>Milestones</vt:lpstr>
      <vt:lpstr>Long term</vt:lpstr>
      <vt:lpstr>Use of Funds</vt:lpstr>
      <vt:lpstr>Benchmarks</vt:lpstr>
      <vt:lpstr>Personal Net Worth</vt:lpstr>
      <vt:lpstr>Ratios</vt:lpstr>
      <vt:lpstr>userdefinedinfo</vt:lpstr>
      <vt:lpstr>accounts_payable</vt:lpstr>
      <vt:lpstr>accounts_receivable</vt:lpstr>
      <vt:lpstr>acid_test</vt:lpstr>
      <vt:lpstr>additional_investment_requirement</vt:lpstr>
      <vt:lpstr>assets_to_sales</vt:lpstr>
      <vt:lpstr>average_per_unit_revenue</vt:lpstr>
      <vt:lpstr>average_per_unit_revenue_calculated</vt:lpstr>
      <vt:lpstr>average_per_unit_variable_cost</vt:lpstr>
      <vt:lpstr>average_variable_cost</vt:lpstr>
      <vt:lpstr>b1_o_p</vt:lpstr>
      <vt:lpstr>b1_o_p_st</vt:lpstr>
      <vt:lpstr>b1_s_p</vt:lpstr>
      <vt:lpstr>b1_s_p_st</vt:lpstr>
      <vt:lpstr>b2_o_p</vt:lpstr>
      <vt:lpstr>b2_o_p_st</vt:lpstr>
      <vt:lpstr>b2_s_p</vt:lpstr>
      <vt:lpstr>b2_s_p_st</vt:lpstr>
      <vt:lpstr>b3_o_p</vt:lpstr>
      <vt:lpstr>b3_o_p_st</vt:lpstr>
      <vt:lpstr>b3_s_p</vt:lpstr>
      <vt:lpstr>b3_s_p_st</vt:lpstr>
      <vt:lpstr>b4_o_p</vt:lpstr>
      <vt:lpstr>b4_o_p_st</vt:lpstr>
      <vt:lpstr>b4_s_p</vt:lpstr>
      <vt:lpstr>b4_s_p_st</vt:lpstr>
      <vt:lpstr>cash</vt:lpstr>
      <vt:lpstr>cash_balance_on_starting_date</vt:lpstr>
      <vt:lpstr>chart_benchmarks1_ongoing_planned</vt:lpstr>
      <vt:lpstr>chart_benchmarks1_ongoing_planned_st</vt:lpstr>
      <vt:lpstr>chart_benchmarks1_startup_planned</vt:lpstr>
      <vt:lpstr>chart_benchmarks1_startup_planned_st</vt:lpstr>
      <vt:lpstr>chart_benchmarks2_ongoing_planned</vt:lpstr>
      <vt:lpstr>chart_benchmarks2_ongoing_planned_st</vt:lpstr>
      <vt:lpstr>chart_benchmarks2_startup_planned</vt:lpstr>
      <vt:lpstr>chart_benchmarks2_startup_planned_st</vt:lpstr>
      <vt:lpstr>chart_benchmarks3_ongoing_planned</vt:lpstr>
      <vt:lpstr>chart_benchmarks3_ongoing_planned_st</vt:lpstr>
      <vt:lpstr>chart_benchmarks3_startup_planned</vt:lpstr>
      <vt:lpstr>chart_benchmarks3_startup_planned_st</vt:lpstr>
      <vt:lpstr>chart_benchmarks4_ongoing_planned</vt:lpstr>
      <vt:lpstr>chart_benchmarks4_ongoing_planned_st</vt:lpstr>
      <vt:lpstr>chart_benchmarks4_startup_planned</vt:lpstr>
      <vt:lpstr>chart_benchmarks4_startup_planned_st</vt:lpstr>
      <vt:lpstr>chart_breakeven_units</vt:lpstr>
      <vt:lpstr>chart_breakeven_values</vt:lpstr>
      <vt:lpstr>chart_cash_pilot</vt:lpstr>
      <vt:lpstr>chart_cash_pilot2</vt:lpstr>
      <vt:lpstr>DCF!chart_cash_planned</vt:lpstr>
      <vt:lpstr>'Hi-Vol Surgeons'!chart_cash_planned</vt:lpstr>
      <vt:lpstr>chart_cash_planned</vt:lpstr>
      <vt:lpstr>DCF!chart_cash_year2_planned</vt:lpstr>
      <vt:lpstr>'Hi-Vol Surgeons'!chart_cash_year2_planned</vt:lpstr>
      <vt:lpstr>chart_cash_year2_planned</vt:lpstr>
      <vt:lpstr>chart_expenses_dashboard_pav</vt:lpstr>
      <vt:lpstr>chart_highlights_planned</vt:lpstr>
      <vt:lpstr>chart_highlights_planned_actual</vt:lpstr>
      <vt:lpstr>chart_highlights_planned_st</vt:lpstr>
      <vt:lpstr>chart_highlights_planned_st_actual</vt:lpstr>
      <vt:lpstr>chart_highlights_planned_st_variance</vt:lpstr>
      <vt:lpstr>chart_highlights_planned_variance</vt:lpstr>
      <vt:lpstr>chart_longterm</vt:lpstr>
      <vt:lpstr>chart_marketanalysis_bar</vt:lpstr>
      <vt:lpstr>chart_marketanalysis_cagr</vt:lpstr>
      <vt:lpstr>chart_marketanalysis_pie</vt:lpstr>
      <vt:lpstr>chart_milestones_actual</vt:lpstr>
      <vt:lpstr>chart_milestones_planned</vt:lpstr>
      <vt:lpstr>chart_monthly_grossmargin_actual</vt:lpstr>
      <vt:lpstr>chart_monthly_grossmargin_planned</vt:lpstr>
      <vt:lpstr>chart_monthly_grossmargin_variance</vt:lpstr>
      <vt:lpstr>chart_monthly_grossmargin_year2_planned</vt:lpstr>
      <vt:lpstr>chart_monthly_profit_actual</vt:lpstr>
      <vt:lpstr>chart_monthly_profit_planned</vt:lpstr>
      <vt:lpstr>chart_monthly_profit_variance</vt:lpstr>
      <vt:lpstr>chart_monthly_profit_year2_planned</vt:lpstr>
      <vt:lpstr>chart_pastperformance</vt:lpstr>
      <vt:lpstr>'Sales and COGS Forecasts (OLD)'!chart_sales_dashboard_pav</vt:lpstr>
      <vt:lpstr>'Sales Forecast (old)'!chart_sales_dashboard_pav</vt:lpstr>
      <vt:lpstr>chart_sales_dashboard_pav</vt:lpstr>
      <vt:lpstr>'Sales Forecast (old)'!chart_sales_units_monthly_actual</vt:lpstr>
      <vt:lpstr>'Sales Forecast (old)'!chart_sales_units_monthly_planned</vt:lpstr>
      <vt:lpstr>'Sales Forecast (old)'!chart_sales_units_monthly_variance</vt:lpstr>
      <vt:lpstr>'Sales Forecast (old)'!chart_sales_units_monthly_year2_planned</vt:lpstr>
      <vt:lpstr>'Sales Forecast (old)'!chart_sales_units_yearly_actual</vt:lpstr>
      <vt:lpstr>'Sales Forecast (old)'!chart_sales_units_yearly_actual_st</vt:lpstr>
      <vt:lpstr>'Sales Forecast (old)'!chart_sales_units_yearly_planned</vt:lpstr>
      <vt:lpstr>'Sales Forecast (old)'!chart_sales_units_yearly_planned_st</vt:lpstr>
      <vt:lpstr>'Sales Forecast (old)'!chart_sales_units_yearly_variance</vt:lpstr>
      <vt:lpstr>'Sales Forecast (old)'!chart_sales_units_yearly_variance_st</vt:lpstr>
      <vt:lpstr>'Sales and COGS Forecasts (OLD)'!chart_sales_values_monthly_actual</vt:lpstr>
      <vt:lpstr>'Sales Forecast (old)'!chart_sales_values_monthly_actual</vt:lpstr>
      <vt:lpstr>chart_sales_values_monthly_actual</vt:lpstr>
      <vt:lpstr>'Sales Forecast (old)'!chart_sales_values_monthly_planned</vt:lpstr>
      <vt:lpstr>'Sales and COGS Forecasts (OLD)'!chart_sales_values_monthly_variance</vt:lpstr>
      <vt:lpstr>'Sales Forecast (old)'!chart_sales_values_monthly_variance</vt:lpstr>
      <vt:lpstr>chart_sales_values_monthly_variance</vt:lpstr>
      <vt:lpstr>'Sales Forecast (old)'!chart_sales_values_monthly_year2_planned</vt:lpstr>
      <vt:lpstr>'Sales and COGS Forecasts (OLD)'!chart_sales_values_yearly_actual</vt:lpstr>
      <vt:lpstr>'Sales Forecast (old)'!chart_sales_values_yearly_actual</vt:lpstr>
      <vt:lpstr>chart_sales_values_yearly_actual</vt:lpstr>
      <vt:lpstr>'Sales and COGS Forecasts (OLD)'!chart_sales_values_yearly_actual_st</vt:lpstr>
      <vt:lpstr>'Sales Forecast (old)'!chart_sales_values_yearly_actual_st</vt:lpstr>
      <vt:lpstr>chart_sales_values_yearly_actual_st</vt:lpstr>
      <vt:lpstr>'Sales Forecast (old)'!chart_sales_values_yearly_planned</vt:lpstr>
      <vt:lpstr>'Sales Forecast (old)'!chart_sales_values_yearly_planned_st</vt:lpstr>
      <vt:lpstr>'Sales and COGS Forecasts (OLD)'!chart_sales_values_yearly_variance</vt:lpstr>
      <vt:lpstr>'Sales Forecast (old)'!chart_sales_values_yearly_variance</vt:lpstr>
      <vt:lpstr>chart_sales_values_yearly_variance</vt:lpstr>
      <vt:lpstr>'Sales and COGS Forecasts (OLD)'!chart_sales_values_yearly_variance_st</vt:lpstr>
      <vt:lpstr>'Sales Forecast (old)'!chart_sales_values_yearly_variance_st</vt:lpstr>
      <vt:lpstr>chart_sales_values_yearly_variance_st</vt:lpstr>
      <vt:lpstr>chart_sf_cash_planned</vt:lpstr>
      <vt:lpstr>chart_sf_highlights_planned</vt:lpstr>
      <vt:lpstr>chart_sf_highlights_planned_st</vt:lpstr>
      <vt:lpstr>chart_sf_monthly_profit_planned</vt:lpstr>
      <vt:lpstr>chart_sf_monthly_sales_planned</vt:lpstr>
      <vt:lpstr>chart_yearly_grossmargin_actual</vt:lpstr>
      <vt:lpstr>chart_yearly_grossmargin_actual_st</vt:lpstr>
      <vt:lpstr>chart_yearly_grossmargin_planned</vt:lpstr>
      <vt:lpstr>chart_yearly_grossmargin_planned_st</vt:lpstr>
      <vt:lpstr>chart_yearly_grossmargin_variance</vt:lpstr>
      <vt:lpstr>chart_yearly_grossmargin_variance_st</vt:lpstr>
      <vt:lpstr>charts_sf_yearly_profit_planned</vt:lpstr>
      <vt:lpstr>charts_sf_yearly_profit_planned_st</vt:lpstr>
      <vt:lpstr>charts_sf_yearly_sales_planned</vt:lpstr>
      <vt:lpstr>charts_sf_yearly_sales_planned_st</vt:lpstr>
      <vt:lpstr>charts_yearly_profit_actual</vt:lpstr>
      <vt:lpstr>charts_yearly_profit_actual_st</vt:lpstr>
      <vt:lpstr>charts_yearly_profit_planned</vt:lpstr>
      <vt:lpstr>charts_yearly_profit_planned_st</vt:lpstr>
      <vt:lpstr>charts_yearly_profit_variance</vt:lpstr>
      <vt:lpstr>charts_yearly_profit_variance_st</vt:lpstr>
      <vt:lpstr>colhide_balancesheet_annuals1</vt:lpstr>
      <vt:lpstr>colhide_balancesheet_longterm_planned</vt:lpstr>
      <vt:lpstr>colhide_be</vt:lpstr>
      <vt:lpstr>DCF!colhide_cashflow_annuals1</vt:lpstr>
      <vt:lpstr>'Hi-Vol Surgeons'!colhide_cashflow_annuals1</vt:lpstr>
      <vt:lpstr>colhide_cashflow_annuals1</vt:lpstr>
      <vt:lpstr>DCF!colhide_cashflow_longterm_planned</vt:lpstr>
      <vt:lpstr>'Hi-Vol Surgeons'!colhide_cashflow_longterm_planned</vt:lpstr>
      <vt:lpstr>colhide_cashflow_longterm_planned</vt:lpstr>
      <vt:lpstr>colhide_financials_annuals</vt:lpstr>
      <vt:lpstr>colhide_generalassumptions_annuals1</vt:lpstr>
      <vt:lpstr>colhide_generalassumptions_longterm_planned</vt:lpstr>
      <vt:lpstr>colhide_lt</vt:lpstr>
      <vt:lpstr>colhide_lt2</vt:lpstr>
      <vt:lpstr>colhide_personnel_annuals</vt:lpstr>
      <vt:lpstr>colhide_personnel_annuals1</vt:lpstr>
      <vt:lpstr>colhide_personnel_longterm_planned</vt:lpstr>
      <vt:lpstr>colhide_profitandloss_annuals1</vt:lpstr>
      <vt:lpstr>colhide_profitandloss_longterm_actual</vt:lpstr>
      <vt:lpstr>colhide_profitandloss_longterm_planned</vt:lpstr>
      <vt:lpstr>colhide_profitandloss_longterm_variance</vt:lpstr>
      <vt:lpstr>colhide_ra</vt:lpstr>
      <vt:lpstr>colhide_ra_longterm</vt:lpstr>
      <vt:lpstr>colhide_ra_year2a</vt:lpstr>
      <vt:lpstr>colhide_ra_year2b</vt:lpstr>
      <vt:lpstr>colhide_ra1</vt:lpstr>
      <vt:lpstr>'Sales Forecast (old)'!colhide_sales_annuals</vt:lpstr>
      <vt:lpstr>'Sales and COGS Forecasts (OLD)'!colhide_sales_annuals1</vt:lpstr>
      <vt:lpstr>'Sales Forecast (old)'!colhide_sales_annuals1</vt:lpstr>
      <vt:lpstr>colhide_sales_annuals1</vt:lpstr>
      <vt:lpstr>'Sales Forecast (old)'!colhide_sales_longterm_actual</vt:lpstr>
      <vt:lpstr>'Sales and COGS Forecasts (OLD)'!colhide_sales_longterm_planned</vt:lpstr>
      <vt:lpstr>'Sales Forecast (old)'!colhide_sales_longterm_planned</vt:lpstr>
      <vt:lpstr>colhide_sales_longterm_planned</vt:lpstr>
      <vt:lpstr>'Sales Forecast (old)'!colhide_sales_longterm_variance</vt:lpstr>
      <vt:lpstr>colhide_sourcesanduses_annuals</vt:lpstr>
      <vt:lpstr>colhide_sourcesanduses_annuals1</vt:lpstr>
      <vt:lpstr>colhide_sourcesanduses_longterm_planned</vt:lpstr>
      <vt:lpstr>collection_days</vt:lpstr>
      <vt:lpstr>cost_of_unit_sales</vt:lpstr>
      <vt:lpstr>CP_AccountsReceivable_Source</vt:lpstr>
      <vt:lpstr>CP_Cash_Source</vt:lpstr>
      <vt:lpstr>CP_Inventory_Source</vt:lpstr>
      <vt:lpstr>current_borrowing</vt:lpstr>
      <vt:lpstr>current_interest_rate</vt:lpstr>
      <vt:lpstr>db_balance_cat1</vt:lpstr>
      <vt:lpstr>db_balance_cat2</vt:lpstr>
      <vt:lpstr>db_breakevenanalysis</vt:lpstr>
      <vt:lpstr>db_fundingliabilities</vt:lpstr>
      <vt:lpstr>db_generalassumptions</vt:lpstr>
      <vt:lpstr>db_income_range_cat1</vt:lpstr>
      <vt:lpstr>db_income_range_cat1_actual</vt:lpstr>
      <vt:lpstr>db_income_range_cat3</vt:lpstr>
      <vt:lpstr>db_income_range_cat3_actual</vt:lpstr>
      <vt:lpstr>db_income_range_cat5_actual</vt:lpstr>
      <vt:lpstr>db_income_range_cat7</vt:lpstr>
      <vt:lpstr>db_longterm</vt:lpstr>
      <vt:lpstr>db_marketanalysis</vt:lpstr>
      <vt:lpstr>db_milestones</vt:lpstr>
      <vt:lpstr>db_milestones_actual</vt:lpstr>
      <vt:lpstr>db_networth_cat1</vt:lpstr>
      <vt:lpstr>db_networth_cat2</vt:lpstr>
      <vt:lpstr>db_networth_cat3</vt:lpstr>
      <vt:lpstr>db_networth_cat4</vt:lpstr>
      <vt:lpstr>db_pastperformance_capital</vt:lpstr>
      <vt:lpstr>db_pastperformance_liabilities</vt:lpstr>
      <vt:lpstr>db_pastperformance_longtermassets</vt:lpstr>
      <vt:lpstr>db_pastperformance_longtermliabilities</vt:lpstr>
      <vt:lpstr>db_pastperformance_otherinputs</vt:lpstr>
      <vt:lpstr>db_pastperformance_sales</vt:lpstr>
      <vt:lpstr>db_pastperformance_shorttermassets</vt:lpstr>
      <vt:lpstr>db_personnel_complex_cat1</vt:lpstr>
      <vt:lpstr>db_personnel_complex_cat2</vt:lpstr>
      <vt:lpstr>db_personnel_complex_cat3</vt:lpstr>
      <vt:lpstr>db_personnel_complex_cat4</vt:lpstr>
      <vt:lpstr>db_personnel_complex_headcount</vt:lpstr>
      <vt:lpstr>db_personnel_medium</vt:lpstr>
      <vt:lpstr>db_personnel_medium_headcount</vt:lpstr>
      <vt:lpstr>db_personnel_peoplebased_cat1</vt:lpstr>
      <vt:lpstr>db_personnel_peoplebased_cat2</vt:lpstr>
      <vt:lpstr>db_personnel_peoplebased_cat3</vt:lpstr>
      <vt:lpstr>db_personnel_peoplebased_cat4</vt:lpstr>
      <vt:lpstr>db_personnel_simple</vt:lpstr>
      <vt:lpstr>db_plannedinvestment</vt:lpstr>
      <vt:lpstr>db_ratioanalysis_cat1</vt:lpstr>
      <vt:lpstr>db_ratioanalysis_cat2</vt:lpstr>
      <vt:lpstr>db_ratioanalysis_integra</vt:lpstr>
      <vt:lpstr>'Sales Forecast (old)'!db_sales_units_annual_growth</vt:lpstr>
      <vt:lpstr>'Sales Forecast (old)'!db_sales_units_directcostofsales_actual</vt:lpstr>
      <vt:lpstr>'Sales Forecast (old)'!db_sales_units_sales_actual</vt:lpstr>
      <vt:lpstr>'Sales Forecast (old)'!db_sales_units_unitcosts</vt:lpstr>
      <vt:lpstr>'Sales Forecast (old)'!db_sales_units_unitprice</vt:lpstr>
      <vt:lpstr>'Sales Forecast (old)'!db_sales_units_units</vt:lpstr>
      <vt:lpstr>'Sales Forecast (old)'!db_sales_units_units_actual</vt:lpstr>
      <vt:lpstr>'Sales Forecast (old)'!db_sales_values_costs</vt:lpstr>
      <vt:lpstr>'Sales Forecast (old)'!db_sales_values_costs_actual</vt:lpstr>
      <vt:lpstr>'Sales Forecast (old)'!db_sales_values_costs_annual_growth</vt:lpstr>
      <vt:lpstr>'Sales and COGS Forecasts (OLD)'!db_sales_values_sales</vt:lpstr>
      <vt:lpstr>'Sales Forecast (old)'!db_sales_values_sales</vt:lpstr>
      <vt:lpstr>db_sales_values_sales</vt:lpstr>
      <vt:lpstr>'Sales Forecast (old)'!db_sales_values_sales_actual</vt:lpstr>
      <vt:lpstr>'Sales and COGS Forecasts (OLD)'!db_sales_values_sales_annual_growth</vt:lpstr>
      <vt:lpstr>'Sales Forecast (old)'!db_sales_values_sales_annual_growth</vt:lpstr>
      <vt:lpstr>db_sales_values_sales_annual_growth</vt:lpstr>
      <vt:lpstr>db_simplefinancials_cat1</vt:lpstr>
      <vt:lpstr>db_simplefinancials_cat2</vt:lpstr>
      <vt:lpstr>db_simplefinancials_cat3</vt:lpstr>
      <vt:lpstr>db_simplefinancials_cat4</vt:lpstr>
      <vt:lpstr>db_simplefinancials_cat5</vt:lpstr>
      <vt:lpstr>db_useoffunds</vt:lpstr>
      <vt:lpstr>dba_balance_planned</vt:lpstr>
      <vt:lpstr>dba_breakevenanalysis</vt:lpstr>
      <vt:lpstr>dba_funding</vt:lpstr>
      <vt:lpstr>dba_generalassumptions_planned</vt:lpstr>
      <vt:lpstr>dba_longterm</vt:lpstr>
      <vt:lpstr>dba_marketanalysis</vt:lpstr>
      <vt:lpstr>dba_milestones_planned</vt:lpstr>
      <vt:lpstr>dba_networth</vt:lpstr>
      <vt:lpstr>dba_pastperformance</vt:lpstr>
      <vt:lpstr>dba_personnel_planned</vt:lpstr>
      <vt:lpstr>dba_profitandloss_planned</vt:lpstr>
      <vt:lpstr>dba_ratios</vt:lpstr>
      <vt:lpstr>'Sales and COGS Forecasts (OLD)'!dba_sales_planned</vt:lpstr>
      <vt:lpstr>'Sales Forecast (old)'!dba_sales_planned</vt:lpstr>
      <vt:lpstr>dba_sales_planned</vt:lpstr>
      <vt:lpstr>dba_simplefinancials</vt:lpstr>
      <vt:lpstr>dba_useoffunds</vt:lpstr>
      <vt:lpstr>depreciation</vt:lpstr>
      <vt:lpstr>depreciation_actual</vt:lpstr>
      <vt:lpstr>depreciation_variance</vt:lpstr>
      <vt:lpstr>direct_cost_of_sales</vt:lpstr>
      <vt:lpstr>dividend_payout</vt:lpstr>
      <vt:lpstr>estimated_monthly_fixed_cost</vt:lpstr>
      <vt:lpstr>estimated_monthly_fixed_cost_calculated</vt:lpstr>
      <vt:lpstr>fr_assumptions</vt:lpstr>
      <vt:lpstr>fr_breakevenanalysis</vt:lpstr>
      <vt:lpstr>fr_financials</vt:lpstr>
      <vt:lpstr>fr_marketanalysis</vt:lpstr>
      <vt:lpstr>fr_pastperformance</vt:lpstr>
      <vt:lpstr>fr_payrolltaxes</vt:lpstr>
      <vt:lpstr>fr_ratios</vt:lpstr>
      <vt:lpstr>'Sales Forecast (old)'!fr_salesforecast_unitprices</vt:lpstr>
      <vt:lpstr>'Sales Forecast (old)'!fr_salesforecast_units</vt:lpstr>
      <vt:lpstr>general_and_administrative_payroll</vt:lpstr>
      <vt:lpstr>general_and_administrative_percent</vt:lpstr>
      <vt:lpstr>gross_margin</vt:lpstr>
      <vt:lpstr>gross_margin_actual</vt:lpstr>
      <vt:lpstr>gross_margin_percent</vt:lpstr>
      <vt:lpstr>gross_margin_variance</vt:lpstr>
      <vt:lpstr>IndustryRatios</vt:lpstr>
      <vt:lpstr>IndustryRatios_Year1</vt:lpstr>
      <vt:lpstr>IndustryRatios_Year2</vt:lpstr>
      <vt:lpstr>IndustryRatios_Year2Detail</vt:lpstr>
      <vt:lpstr>IndustryRatios_Year3</vt:lpstr>
      <vt:lpstr>IndustryRatios_Year4</vt:lpstr>
      <vt:lpstr>IndustryRatios_Year5</vt:lpstr>
      <vt:lpstr>'Sales and COGS Forecasts (OLD)'!insertgroup_a</vt:lpstr>
      <vt:lpstr>'Sales Forecast (old)'!insertgroup_a</vt:lpstr>
      <vt:lpstr>insertgroup_a</vt:lpstr>
      <vt:lpstr>'Sales and COGS Forecasts (OLD)'!insertgroup_b</vt:lpstr>
      <vt:lpstr>'Sales Forecast (old)'!insertgroup_b</vt:lpstr>
      <vt:lpstr>insertgroup_b</vt:lpstr>
      <vt:lpstr>interest_expense</vt:lpstr>
      <vt:lpstr>interest_expense_actual</vt:lpstr>
      <vt:lpstr>interest_expense_variance</vt:lpstr>
      <vt:lpstr>inventory</vt:lpstr>
      <vt:lpstr>inventory_turnover</vt:lpstr>
      <vt:lpstr>long_term_assets</vt:lpstr>
      <vt:lpstr>long_term_interest_rate</vt:lpstr>
      <vt:lpstr>long_term_liabilities</vt:lpstr>
      <vt:lpstr>monthly_sales_breakeven</vt:lpstr>
      <vt:lpstr>monthly_units_breakeven</vt:lpstr>
      <vt:lpstr>net_profit</vt:lpstr>
      <vt:lpstr>net_profit_actual</vt:lpstr>
      <vt:lpstr>net_profit_margin</vt:lpstr>
      <vt:lpstr>net_profit_variance</vt:lpstr>
      <vt:lpstr>paid_in_capital</vt:lpstr>
      <vt:lpstr>past_capital_assets</vt:lpstr>
      <vt:lpstr>past_performance_accounts_payable</vt:lpstr>
      <vt:lpstr>past_performance_accounts_receivable</vt:lpstr>
      <vt:lpstr>past_performance_accumulated_depreciation</vt:lpstr>
      <vt:lpstr>past_performance_cash</vt:lpstr>
      <vt:lpstr>past_performance_collection_days</vt:lpstr>
      <vt:lpstr>past_performance_current_borrowing</vt:lpstr>
      <vt:lpstr>past_performance_earnings</vt:lpstr>
      <vt:lpstr>past_performance_gross_margin</vt:lpstr>
      <vt:lpstr>past_performance_gross_margin_percent</vt:lpstr>
      <vt:lpstr>past_performance_inventory</vt:lpstr>
      <vt:lpstr>past_performance_inventory_turnover</vt:lpstr>
      <vt:lpstr>past_performance_long_term_liabilities</vt:lpstr>
      <vt:lpstr>past_performance_operating_expenses</vt:lpstr>
      <vt:lpstr>past_performance_other_current_assets</vt:lpstr>
      <vt:lpstr>past_performance_other_current_liabilities</vt:lpstr>
      <vt:lpstr>past_performance_paid_in_capital</vt:lpstr>
      <vt:lpstr>past_performance_payment_days</vt:lpstr>
      <vt:lpstr>past_performance_sales</vt:lpstr>
      <vt:lpstr>payroll</vt:lpstr>
      <vt:lpstr>payroll_taxes</vt:lpstr>
      <vt:lpstr>Payroll1</vt:lpstr>
      <vt:lpstr>Payroll2</vt:lpstr>
      <vt:lpstr>Payroll3</vt:lpstr>
      <vt:lpstr>Payroll3GA</vt:lpstr>
      <vt:lpstr>Payroll3OTH</vt:lpstr>
      <vt:lpstr>Payroll3P</vt:lpstr>
      <vt:lpstr>Payroll3SM</vt:lpstr>
      <vt:lpstr>Payroll4</vt:lpstr>
      <vt:lpstr>Payroll4GA</vt:lpstr>
      <vt:lpstr>Payroll4OTH</vt:lpstr>
      <vt:lpstr>Payroll4P</vt:lpstr>
      <vt:lpstr>Payroll4SM</vt:lpstr>
      <vt:lpstr>plan_month</vt:lpstr>
      <vt:lpstr>pr_additionalcashraised</vt:lpstr>
      <vt:lpstr>pr_average_variable_cost</vt:lpstr>
      <vt:lpstr>pr_breakevenanalysis_01</vt:lpstr>
      <vt:lpstr>pr_breakevenanalysis_02</vt:lpstr>
      <vt:lpstr>pr_calculated_averageperunitrevenue</vt:lpstr>
      <vt:lpstr>pr_calculated_averageperunitvariablecost</vt:lpstr>
      <vt:lpstr>pr_calculated_averagepperunitrevenue</vt:lpstr>
      <vt:lpstr>pr_calculated_estimatedfixedcost</vt:lpstr>
      <vt:lpstr>pr_calculatedinventory</vt:lpstr>
      <vt:lpstr>pr_cash_balance</vt:lpstr>
      <vt:lpstr>pr_cash_balance_financials</vt:lpstr>
      <vt:lpstr>pr_costofsales</vt:lpstr>
      <vt:lpstr>pr_costofsales_financials</vt:lpstr>
      <vt:lpstr>DCF!pr_date</vt:lpstr>
      <vt:lpstr>'Hi-Vol Surgeons'!pr_date</vt:lpstr>
      <vt:lpstr>pr_date</vt:lpstr>
      <vt:lpstr>pr_investmentrequired</vt:lpstr>
      <vt:lpstr>pr_longtermliabilities</vt:lpstr>
      <vt:lpstr>pr_negativeap</vt:lpstr>
      <vt:lpstr>pr_negativear</vt:lpstr>
      <vt:lpstr>pr_negativecurrentborrowing</vt:lpstr>
      <vt:lpstr>pr_negativeinventory</vt:lpstr>
      <vt:lpstr>pr_negativeothercurrentborrowing</vt:lpstr>
      <vt:lpstr>pr_netprofit</vt:lpstr>
      <vt:lpstr>pr_netprofit_financials</vt:lpstr>
      <vt:lpstr>pr_nochangecurrentborrowing</vt:lpstr>
      <vt:lpstr>pr_nochangelongtermliabilities</vt:lpstr>
      <vt:lpstr>pr_past</vt:lpstr>
      <vt:lpstr>pr_payroll</vt:lpstr>
      <vt:lpstr>pr_payroll_operating_expenses_result</vt:lpstr>
      <vt:lpstr>pr_sales</vt:lpstr>
      <vt:lpstr>pr_sales_financials</vt:lpstr>
      <vt:lpstr>pr_salesgrowth</vt:lpstr>
      <vt:lpstr>pr_salesgrowth_financials</vt:lpstr>
      <vt:lpstr>pr_startinginventory</vt:lpstr>
      <vt:lpstr>pr_totallongtermassets</vt:lpstr>
      <vt:lpstr>'Cash Flow'!Print_Area</vt:lpstr>
      <vt:lpstr>'Graph Rev EBITDA'!Print_Area</vt:lpstr>
      <vt:lpstr>Balance!Print_Titles</vt:lpstr>
      <vt:lpstr>'Cash Flow'!Print_Titles</vt:lpstr>
      <vt:lpstr>'P&amp;L'!Print_Titles</vt:lpstr>
      <vt:lpstr>'Sales and COGS Forecasts'!Print_Titles</vt:lpstr>
      <vt:lpstr>production_payroll</vt:lpstr>
      <vt:lpstr>profit_before_int_and_taxes</vt:lpstr>
      <vt:lpstr>profit_before_interest_and_taxes</vt:lpstr>
      <vt:lpstr>profit_before_interest_and_taxes_actual</vt:lpstr>
      <vt:lpstr>profit_before_interest_and_taxes_variance</vt:lpstr>
      <vt:lpstr>publishhideranges_gacalculatedtotals</vt:lpstr>
      <vt:lpstr>retained_earnings</vt:lpstr>
      <vt:lpstr>review_grossmargin</vt:lpstr>
      <vt:lpstr>review_netprofit</vt:lpstr>
      <vt:lpstr>review_salesgrowth</vt:lpstr>
      <vt:lpstr>rounder</vt:lpstr>
      <vt:lpstr>rounder2</vt:lpstr>
      <vt:lpstr>rowhide_baap</vt:lpstr>
      <vt:lpstr>rowhide_baar</vt:lpstr>
      <vt:lpstr>rowhide_balinventory</vt:lpstr>
      <vt:lpstr>rowhide_breakeven_units1</vt:lpstr>
      <vt:lpstr>rowhide_breakeven_units2</vt:lpstr>
      <vt:lpstr>rowhide_breakeven_units3</vt:lpstr>
      <vt:lpstr>rowhide_expensecategories1</vt:lpstr>
      <vt:lpstr>rowhide_expensecategories2</vt:lpstr>
      <vt:lpstr>rowhide_expensecategories4</vt:lpstr>
      <vt:lpstr>rowhide_expensecategories5</vt:lpstr>
      <vt:lpstr>rowhide_expensecategories8</vt:lpstr>
      <vt:lpstr>rowhide_financials1</vt:lpstr>
      <vt:lpstr>rowhide_financials2</vt:lpstr>
      <vt:lpstr>rowhide_financials3</vt:lpstr>
      <vt:lpstr>rowhide_financials4</vt:lpstr>
      <vt:lpstr>rowhide_funding_accountspayable</vt:lpstr>
      <vt:lpstr>rowhide_past_accountspayable</vt:lpstr>
      <vt:lpstr>rowhide_past_accountsreceivable</vt:lpstr>
      <vt:lpstr>rowhide_past_collectionperiod</vt:lpstr>
      <vt:lpstr>rowhide_past_inventory</vt:lpstr>
      <vt:lpstr>rowhide_past_inventoryturnover</vt:lpstr>
      <vt:lpstr>rowhide_past_otherinputs</vt:lpstr>
      <vt:lpstr>rowhide_past_paymentdays</vt:lpstr>
      <vt:lpstr>rowhide_past_receivablesturnover</vt:lpstr>
      <vt:lpstr>rowhide_past_salesoncredit</vt:lpstr>
      <vt:lpstr>rowhide_ratios_accountspayableturnover</vt:lpstr>
      <vt:lpstr>rowhide_ratios_ar</vt:lpstr>
      <vt:lpstr>rowhide_ratios_arturnover</vt:lpstr>
      <vt:lpstr>rowhide_ratios_collectiondays</vt:lpstr>
      <vt:lpstr>rowhide_ratios_inventory</vt:lpstr>
      <vt:lpstr>rowhide_ratios_inventoryturnover</vt:lpstr>
      <vt:lpstr>rowhide_ratios_paymentdays</vt:lpstr>
      <vt:lpstr>rowhide_su_decreaseinap</vt:lpstr>
      <vt:lpstr>rowhide_su_decreaseinar</vt:lpstr>
      <vt:lpstr>rowhide_su_decreaseininventory</vt:lpstr>
      <vt:lpstr>rowhide_su_increaseinap</vt:lpstr>
      <vt:lpstr>rowhide_su_increaseinar</vt:lpstr>
      <vt:lpstr>rowhide_su_increaseininventory</vt:lpstr>
      <vt:lpstr>sales</vt:lpstr>
      <vt:lpstr>sales_2</vt:lpstr>
      <vt:lpstr>sales_3</vt:lpstr>
      <vt:lpstr>sales_4</vt:lpstr>
      <vt:lpstr>sales_5</vt:lpstr>
      <vt:lpstr>sales_6</vt:lpstr>
      <vt:lpstr>sales_actual</vt:lpstr>
      <vt:lpstr>'Sales Forecast (old)'!sales_units_directcosts</vt:lpstr>
      <vt:lpstr>'Sales Forecast (old)'!sales_units_sales</vt:lpstr>
      <vt:lpstr>sales_variance</vt:lpstr>
      <vt:lpstr>'Sales Forecast (old)'!salesunits</vt:lpstr>
      <vt:lpstr>'Sales Forecast (old)'!salesunits_actual</vt:lpstr>
      <vt:lpstr>'Sales Forecast (old)'!salesunits_variance</vt:lpstr>
      <vt:lpstr>'Sales and COGS Forecasts (OLD)'!salesvalues</vt:lpstr>
      <vt:lpstr>'Sales Forecast (old)'!salesvalues</vt:lpstr>
      <vt:lpstr>salesvalues</vt:lpstr>
      <vt:lpstr>'Sales Forecast (old)'!salesvalues_actual</vt:lpstr>
      <vt:lpstr>'Sales Forecast (old)'!salesvalues_variance</vt:lpstr>
      <vt:lpstr>starting_balance_inventory</vt:lpstr>
      <vt:lpstr>startup_accounts_payable</vt:lpstr>
      <vt:lpstr>startup_additional_cash_raised</vt:lpstr>
      <vt:lpstr>startup_current_borrowing</vt:lpstr>
      <vt:lpstr>startup_long_term_liabilities</vt:lpstr>
      <vt:lpstr>startup_other_current_liabilities</vt:lpstr>
      <vt:lpstr>startup_total_capital</vt:lpstr>
      <vt:lpstr>startup_total_investment</vt:lpstr>
      <vt:lpstr>startup_total_liabilities</vt:lpstr>
      <vt:lpstr>subtotal_current_liabilities</vt:lpstr>
      <vt:lpstr>'Sales Forecast (old)'!subtotal_direct_cost_of_sales_units</vt:lpstr>
      <vt:lpstr>'Sales Forecast (old)'!subtotal_direct_cost_of_sales_units_actual</vt:lpstr>
      <vt:lpstr>'Sales Forecast (old)'!subtotal_direct_cost_of_sales_units_variance</vt:lpstr>
      <vt:lpstr>'Sales Forecast (old)'!subtotal_direct_cost_of_sales_values</vt:lpstr>
      <vt:lpstr>'Sales Forecast (old)'!subtotal_direct_cost_of_sales_values_actual</vt:lpstr>
      <vt:lpstr>'Sales Forecast (old)'!subtotal_direct_cost_of_sales_values_variance</vt:lpstr>
      <vt:lpstr>table_balancesheet_labels</vt:lpstr>
      <vt:lpstr>table_balancesheet_planned_annuals</vt:lpstr>
      <vt:lpstr>table_balancesheet_planned_year1</vt:lpstr>
      <vt:lpstr>table_balancesheet_planned_year2</vt:lpstr>
      <vt:lpstr>table_breakevenanalysis</vt:lpstr>
      <vt:lpstr>DCF!table_cashflow_labels</vt:lpstr>
      <vt:lpstr>'Hi-Vol Surgeons'!table_cashflow_labels</vt:lpstr>
      <vt:lpstr>table_cashflow_labels</vt:lpstr>
      <vt:lpstr>DCF!table_cashflow_planned_annuals</vt:lpstr>
      <vt:lpstr>'Hi-Vol Surgeons'!table_cashflow_planned_annuals</vt:lpstr>
      <vt:lpstr>table_cashflow_planned_annuals</vt:lpstr>
      <vt:lpstr>DCF!table_cashflow_planned_year1</vt:lpstr>
      <vt:lpstr>'Hi-Vol Surgeons'!table_cashflow_planned_year1</vt:lpstr>
      <vt:lpstr>table_cashflow_planned_year1</vt:lpstr>
      <vt:lpstr>table_cashflow_planned_year2</vt:lpstr>
      <vt:lpstr>table_funding</vt:lpstr>
      <vt:lpstr>table_generalassumptions_annuals</vt:lpstr>
      <vt:lpstr>table_generalassumptions_labels</vt:lpstr>
      <vt:lpstr>table_generalassumptions_year1</vt:lpstr>
      <vt:lpstr>table_generalassumptions_year2</vt:lpstr>
      <vt:lpstr>table_longterm</vt:lpstr>
      <vt:lpstr>table_marketanalysis</vt:lpstr>
      <vt:lpstr>table_milestones_actual</vt:lpstr>
      <vt:lpstr>table_milestones_labels</vt:lpstr>
      <vt:lpstr>table_milestones_planned</vt:lpstr>
      <vt:lpstr>table_milestones_variance</vt:lpstr>
      <vt:lpstr>table_pastperformance</vt:lpstr>
      <vt:lpstr>table_personalnetworth</vt:lpstr>
      <vt:lpstr>table_personnelcomplex_labels</vt:lpstr>
      <vt:lpstr>table_personnelcomplex_planned_annuals</vt:lpstr>
      <vt:lpstr>table_personnelcomplex_planned_year1</vt:lpstr>
      <vt:lpstr>table_personnelcomplex_planned_year2</vt:lpstr>
      <vt:lpstr>table_personnelmedium_labels</vt:lpstr>
      <vt:lpstr>table_personnelmedium_planned_annuals</vt:lpstr>
      <vt:lpstr>table_personnelmedium_planned_year1</vt:lpstr>
      <vt:lpstr>table_personnelmedium_planned_year2</vt:lpstr>
      <vt:lpstr>table_personnelpeoplebased_labels</vt:lpstr>
      <vt:lpstr>table_personnelpeoplebased_planned_annuals</vt:lpstr>
      <vt:lpstr>table_personnelpeoplebased_planned_year1</vt:lpstr>
      <vt:lpstr>table_personnelpeoplebased_planned_year2</vt:lpstr>
      <vt:lpstr>table_personnelsimple_labels</vt:lpstr>
      <vt:lpstr>table_personnelsimple_planned_annuals</vt:lpstr>
      <vt:lpstr>table_personnelsimple_planned_year1</vt:lpstr>
      <vt:lpstr>table_personnelsimple_planned_year2</vt:lpstr>
      <vt:lpstr>table_profitandloss_actual_annuals</vt:lpstr>
      <vt:lpstr>table_profitandloss_actual_year1</vt:lpstr>
      <vt:lpstr>table_profitandloss_annuals</vt:lpstr>
      <vt:lpstr>table_profitandloss_labels</vt:lpstr>
      <vt:lpstr>table_profitandloss_planned_annuals</vt:lpstr>
      <vt:lpstr>table_profitandloss_planned_year1</vt:lpstr>
      <vt:lpstr>table_profitandloss_planned_year2</vt:lpstr>
      <vt:lpstr>table_profitandloss_variance_annuals</vt:lpstr>
      <vt:lpstr>table_profitandloss_variance_year1</vt:lpstr>
      <vt:lpstr>table_ratios</vt:lpstr>
      <vt:lpstr>'Sales Forecast (old)'!table_salesunits_annuals</vt:lpstr>
      <vt:lpstr>'Sales Forecast (old)'!table_salesunits_annuals_actual</vt:lpstr>
      <vt:lpstr>'Sales Forecast (old)'!table_salesunits_annuals_variance</vt:lpstr>
      <vt:lpstr>'Sales Forecast (old)'!table_salesunits_labels</vt:lpstr>
      <vt:lpstr>'Sales Forecast (old)'!table_salesunits_year1</vt:lpstr>
      <vt:lpstr>'Sales Forecast (old)'!table_salesunits_year1_actual</vt:lpstr>
      <vt:lpstr>'Sales Forecast (old)'!table_salesunits_year1_variance</vt:lpstr>
      <vt:lpstr>'Sales Forecast (old)'!table_salesunits_year2</vt:lpstr>
      <vt:lpstr>'Sales and COGS Forecasts (OLD)'!table_salesvalues_annuals</vt:lpstr>
      <vt:lpstr>'Sales Forecast (old)'!table_salesvalues_annuals</vt:lpstr>
      <vt:lpstr>table_salesvalues_annuals</vt:lpstr>
      <vt:lpstr>'Sales Forecast (old)'!table_salesvalues_annuals_actual</vt:lpstr>
      <vt:lpstr>'Sales Forecast (old)'!table_salesvalues_annuals_variance</vt:lpstr>
      <vt:lpstr>'Sales and COGS Forecasts (OLD)'!table_salesvalues_labels</vt:lpstr>
      <vt:lpstr>'Sales Forecast (old)'!table_salesvalues_labels</vt:lpstr>
      <vt:lpstr>table_salesvalues_labels</vt:lpstr>
      <vt:lpstr>'Sales and COGS Forecasts (OLD)'!table_salesvalues_year1</vt:lpstr>
      <vt:lpstr>'Sales Forecast (old)'!table_salesvalues_year1</vt:lpstr>
      <vt:lpstr>table_salesvalues_year1</vt:lpstr>
      <vt:lpstr>'Sales Forecast (old)'!table_salesvalues_year1_actual</vt:lpstr>
      <vt:lpstr>'Sales Forecast (old)'!table_salesvalues_year1_variance</vt:lpstr>
      <vt:lpstr>'Sales and COGS Forecasts (OLD)'!table_salesvalues_year2</vt:lpstr>
      <vt:lpstr>'Sales Forecast (old)'!table_salesvalues_year2</vt:lpstr>
      <vt:lpstr>table_salesvalues_year2</vt:lpstr>
      <vt:lpstr>table_simplefinancials_annuals</vt:lpstr>
      <vt:lpstr>table_simplefinancials_labels</vt:lpstr>
      <vt:lpstr>table_simplefinancials_year1</vt:lpstr>
      <vt:lpstr>table_sourcesanduses_annuals</vt:lpstr>
      <vt:lpstr>table_sourcesanduses_labels</vt:lpstr>
      <vt:lpstr>table_sourcesanduses_year1</vt:lpstr>
      <vt:lpstr>table_sourcesanduses_year2</vt:lpstr>
      <vt:lpstr>table_useoffunds</vt:lpstr>
      <vt:lpstr>tax_rate</vt:lpstr>
      <vt:lpstr>taxes_incurred</vt:lpstr>
      <vt:lpstr>taxes_incurred_actual</vt:lpstr>
      <vt:lpstr>taxes_incurred_variance</vt:lpstr>
      <vt:lpstr>total_assets</vt:lpstr>
      <vt:lpstr>total_capital</vt:lpstr>
      <vt:lpstr>total_cost_of_sales</vt:lpstr>
      <vt:lpstr>total_cost_of_sales_actual</vt:lpstr>
      <vt:lpstr>total_cost_of_sales_variance</vt:lpstr>
      <vt:lpstr>total_current_assets</vt:lpstr>
      <vt:lpstr>total_expense</vt:lpstr>
      <vt:lpstr>total_general_and_administrative_expense</vt:lpstr>
      <vt:lpstr>total_general_and_administrative_expense_actual</vt:lpstr>
      <vt:lpstr>total_general_and_administrative_expense_variance</vt:lpstr>
      <vt:lpstr>total_liabilities</vt:lpstr>
      <vt:lpstr>total_liabilities_and_capital</vt:lpstr>
      <vt:lpstr>total_long_term_assets</vt:lpstr>
      <vt:lpstr>'Sales Forecast (old)'!total_unit_sales</vt:lpstr>
      <vt:lpstr>variable_cost_per_unit_calculated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Badzire-Smith</dc:creator>
  <cp:lastModifiedBy>William F Bennett MD</cp:lastModifiedBy>
  <cp:lastPrinted>2012-11-27T02:10:00Z</cp:lastPrinted>
  <dcterms:created xsi:type="dcterms:W3CDTF">2011-03-23T14:18:13Z</dcterms:created>
  <dcterms:modified xsi:type="dcterms:W3CDTF">2013-10-27T21:40:27Z</dcterms:modified>
</cp:coreProperties>
</file>